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hidePivotFieldList="1" defaultThemeVersion="124226"/>
  <mc:AlternateContent xmlns:mc="http://schemas.openxmlformats.org/markup-compatibility/2006">
    <mc:Choice Requires="x15">
      <x15ac:absPath xmlns:x15ac="http://schemas.microsoft.com/office/spreadsheetml/2010/11/ac" url="C:\Users\CALIDAD04\Documents\DOCUMENTOS DE APOYO CALIDAD\2023\PAGINA WEB\RIESGOS\"/>
    </mc:Choice>
  </mc:AlternateContent>
  <xr:revisionPtr revIDLastSave="0" documentId="8_{0809ACE2-F1BA-4011-8B51-D26FC38AE319}" xr6:coauthVersionLast="47" xr6:coauthVersionMax="47" xr10:uidLastSave="{00000000-0000-0000-0000-000000000000}"/>
  <bookViews>
    <workbookView xWindow="-120" yWindow="-120" windowWidth="29040" windowHeight="15840" tabRatio="882" activeTab="2" xr2:uid="{00000000-000D-0000-FFFF-FFFF00000000}"/>
  </bookViews>
  <sheets>
    <sheet name="Contexto" sheetId="25" r:id="rId1"/>
    <sheet name="Intructivo" sheetId="26" r:id="rId2"/>
    <sheet name="Mapa final" sheetId="1" r:id="rId3"/>
    <sheet name="Matriz Calor Inherente" sheetId="18" r:id="rId4"/>
    <sheet name="Matriz Calor Residual" sheetId="19" r:id="rId5"/>
    <sheet name="Tabla probabilidad" sheetId="12" r:id="rId6"/>
    <sheet name="Tabla Impacto" sheetId="23" r:id="rId7"/>
    <sheet name="Tabla Valoración controles" sheetId="15" r:id="rId8"/>
    <sheet name="CONTROL DE CAMBIOS" sheetId="21" r:id="rId9"/>
    <sheet name="Opciones Tratamiento" sheetId="16" state="hidden" r:id="rId10"/>
    <sheet name="Hoja1" sheetId="11"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_FilterDatabase" localSheetId="2" hidden="1">'Mapa final'!$A$8:$BT$50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1" l="1"/>
  <c r="O29" i="1"/>
  <c r="O28" i="1"/>
  <c r="O26" i="1"/>
  <c r="O23" i="1"/>
  <c r="N44" i="1"/>
  <c r="AR25" i="23"/>
  <c r="AQ25" i="23"/>
  <c r="AQ26" i="23"/>
  <c r="AP25" i="23"/>
  <c r="AO25" i="23"/>
  <c r="AO26" i="23"/>
  <c r="AN25" i="23"/>
  <c r="AM25" i="23"/>
  <c r="AM26" i="23"/>
  <c r="AL25" i="23"/>
  <c r="AK25" i="23"/>
  <c r="AK26" i="23"/>
  <c r="AJ25" i="23"/>
  <c r="AI25" i="23"/>
  <c r="AI26" i="23"/>
  <c r="AH25" i="23"/>
  <c r="AG25" i="23"/>
  <c r="AG26" i="23"/>
  <c r="AF25" i="23"/>
  <c r="AE25" i="23"/>
  <c r="AE26" i="23"/>
  <c r="AD25" i="23"/>
  <c r="AC25" i="23"/>
  <c r="AC26" i="23"/>
  <c r="AB25" i="23"/>
  <c r="AA25" i="23"/>
  <c r="AA26" i="23"/>
  <c r="AT25" i="23"/>
  <c r="AS25" i="23"/>
  <c r="AS26" i="23"/>
  <c r="Z25" i="23"/>
  <c r="Y25" i="23"/>
  <c r="Y26" i="23"/>
  <c r="X25" i="23"/>
  <c r="W25" i="23"/>
  <c r="W26" i="23"/>
  <c r="V25" i="23"/>
  <c r="U25" i="23"/>
  <c r="U26" i="23"/>
  <c r="T25" i="23"/>
  <c r="S25" i="23"/>
  <c r="S26" i="23"/>
  <c r="R25" i="23"/>
  <c r="Q25" i="23"/>
  <c r="Q26" i="23"/>
  <c r="P25" i="23"/>
  <c r="O25" i="23"/>
  <c r="O26" i="23"/>
  <c r="N25" i="23"/>
  <c r="M25" i="23"/>
  <c r="M26" i="23"/>
  <c r="L25" i="23"/>
  <c r="K25" i="23"/>
  <c r="K26" i="23"/>
  <c r="J25" i="23"/>
  <c r="I25" i="23"/>
  <c r="I26" i="23"/>
  <c r="BN25" i="23"/>
  <c r="BM25" i="23"/>
  <c r="BM26" i="23"/>
  <c r="BL25" i="23"/>
  <c r="BK25" i="23"/>
  <c r="BK26" i="23"/>
  <c r="BJ25" i="23"/>
  <c r="BI25" i="23"/>
  <c r="BI26" i="23"/>
  <c r="BH25" i="23"/>
  <c r="BG25" i="23"/>
  <c r="BG26" i="23"/>
  <c r="BF25" i="23"/>
  <c r="BE25" i="23"/>
  <c r="BE26" i="23"/>
  <c r="BD25" i="23"/>
  <c r="BC25" i="23"/>
  <c r="BC26" i="23"/>
  <c r="BB25" i="23"/>
  <c r="BA25" i="23"/>
  <c r="BA26" i="23"/>
  <c r="BA27" i="23"/>
  <c r="AZ25" i="23"/>
  <c r="AY25" i="23"/>
  <c r="AY26" i="23"/>
  <c r="AX25" i="23"/>
  <c r="AW25" i="23"/>
  <c r="AW26" i="23"/>
  <c r="AV25" i="23"/>
  <c r="AU25" i="23"/>
  <c r="AU26" i="23"/>
  <c r="V41" i="1"/>
  <c r="V40" i="1"/>
  <c r="S40" i="1"/>
  <c r="S41" i="1"/>
  <c r="S42" i="1"/>
  <c r="S43" i="1"/>
  <c r="S44" i="1"/>
  <c r="S45" i="1"/>
  <c r="S46" i="1"/>
  <c r="S47" i="1"/>
  <c r="S48" i="1"/>
  <c r="S49" i="1"/>
  <c r="S50" i="1"/>
  <c r="K50" i="1"/>
  <c r="L50" i="1"/>
  <c r="K49" i="1"/>
  <c r="L49" i="1"/>
  <c r="K48" i="1"/>
  <c r="L48" i="1"/>
  <c r="K47" i="1"/>
  <c r="L47" i="1"/>
  <c r="K46" i="1"/>
  <c r="L46" i="1"/>
  <c r="K45" i="1"/>
  <c r="L45" i="1"/>
  <c r="K44" i="1"/>
  <c r="L44" i="1"/>
  <c r="K43" i="1"/>
  <c r="L43" i="1"/>
  <c r="K42" i="1"/>
  <c r="L42" i="1"/>
  <c r="K40" i="1"/>
  <c r="L40" i="1"/>
  <c r="M40" i="1"/>
  <c r="N40" i="1"/>
  <c r="AU27" i="23"/>
  <c r="M42" i="1"/>
  <c r="N42" i="1"/>
  <c r="O42" i="1"/>
  <c r="AW27" i="23"/>
  <c r="M43" i="1"/>
  <c r="N43" i="1"/>
  <c r="O43" i="1"/>
  <c r="AY27" i="23"/>
  <c r="M45" i="1"/>
  <c r="N45" i="1"/>
  <c r="O45" i="1"/>
  <c r="BC27" i="23"/>
  <c r="M46" i="1"/>
  <c r="N46" i="1"/>
  <c r="BE27" i="23"/>
  <c r="M47" i="1"/>
  <c r="N47" i="1"/>
  <c r="BG27" i="23"/>
  <c r="M48" i="1"/>
  <c r="N48" i="1"/>
  <c r="O48" i="1"/>
  <c r="BI27" i="23"/>
  <c r="M49" i="1"/>
  <c r="N49" i="1"/>
  <c r="O49" i="1"/>
  <c r="BK27" i="23"/>
  <c r="M50" i="1"/>
  <c r="N50" i="1"/>
  <c r="O50" i="1"/>
  <c r="BM27" i="23"/>
  <c r="M9" i="1"/>
  <c r="N9" i="1"/>
  <c r="I27" i="23"/>
  <c r="K27" i="23"/>
  <c r="M11" i="1"/>
  <c r="N11" i="1"/>
  <c r="O11" i="1"/>
  <c r="M12" i="1"/>
  <c r="N12" i="1"/>
  <c r="O12" i="1"/>
  <c r="M27" i="23"/>
  <c r="M15" i="1"/>
  <c r="N15" i="1"/>
  <c r="O15" i="1"/>
  <c r="O27" i="23"/>
  <c r="M17" i="1"/>
  <c r="N17" i="1"/>
  <c r="O17" i="1"/>
  <c r="Q27" i="23"/>
  <c r="M18" i="1"/>
  <c r="N18" i="1"/>
  <c r="S27" i="23"/>
  <c r="M19" i="1"/>
  <c r="N19" i="1"/>
  <c r="O19" i="1"/>
  <c r="U27" i="23"/>
  <c r="M20" i="1"/>
  <c r="N20" i="1"/>
  <c r="O20" i="1"/>
  <c r="W27" i="23"/>
  <c r="M21" i="1"/>
  <c r="N21" i="1"/>
  <c r="O21" i="1"/>
  <c r="Y27" i="23"/>
  <c r="M38" i="1"/>
  <c r="N38" i="1"/>
  <c r="AS27" i="23"/>
  <c r="M22" i="1"/>
  <c r="N22" i="1"/>
  <c r="O22" i="1"/>
  <c r="AA27" i="23"/>
  <c r="M24" i="1"/>
  <c r="N24" i="1"/>
  <c r="O24" i="1"/>
  <c r="AC27" i="23"/>
  <c r="M25" i="1"/>
  <c r="N25" i="1"/>
  <c r="O25" i="1"/>
  <c r="AE27" i="23"/>
  <c r="M27" i="1"/>
  <c r="N27" i="1"/>
  <c r="O27" i="1"/>
  <c r="AG27" i="23"/>
  <c r="M30" i="1"/>
  <c r="N30" i="1"/>
  <c r="O30" i="1"/>
  <c r="AI27" i="23"/>
  <c r="M32" i="1"/>
  <c r="N32" i="1"/>
  <c r="AK27" i="23"/>
  <c r="M33" i="1"/>
  <c r="N33" i="1"/>
  <c r="AM27" i="23"/>
  <c r="M35" i="1"/>
  <c r="N35" i="1"/>
  <c r="AO27" i="23"/>
  <c r="M37" i="1"/>
  <c r="N37" i="1"/>
  <c r="AQ27" i="23"/>
  <c r="V39" i="1"/>
  <c r="S39" i="1"/>
  <c r="V38" i="1"/>
  <c r="S38" i="1"/>
  <c r="K38" i="1"/>
  <c r="AE38" i="1"/>
  <c r="AD38" i="1"/>
  <c r="L38" i="1"/>
  <c r="AA38" i="1"/>
  <c r="AC38" i="1"/>
  <c r="AA39" i="1"/>
  <c r="AB38" i="1"/>
  <c r="AF38" i="1"/>
  <c r="AE39" i="1"/>
  <c r="AD39" i="1"/>
  <c r="AE40" i="1"/>
  <c r="AB39" i="1"/>
  <c r="AC39" i="1"/>
  <c r="AA40" i="1"/>
  <c r="AB40" i="1"/>
  <c r="AC40" i="1"/>
  <c r="AA41" i="1"/>
  <c r="AD40" i="1"/>
  <c r="AE41" i="1"/>
  <c r="AF39" i="1"/>
  <c r="AG38" i="1"/>
  <c r="AD41" i="1"/>
  <c r="AE42" i="1"/>
  <c r="AB41" i="1"/>
  <c r="AC41" i="1"/>
  <c r="AA42" i="1"/>
  <c r="AF40" i="1"/>
  <c r="P37" i="1"/>
  <c r="V37" i="1"/>
  <c r="S37" i="1"/>
  <c r="K37" i="1"/>
  <c r="AF41" i="1"/>
  <c r="AB42" i="1"/>
  <c r="AC42" i="1"/>
  <c r="AA43" i="1"/>
  <c r="AD42" i="1"/>
  <c r="AE43" i="1"/>
  <c r="L37" i="1"/>
  <c r="AA37" i="1"/>
  <c r="AE37" i="1"/>
  <c r="AD37" i="1"/>
  <c r="AD43" i="1"/>
  <c r="AE44" i="1"/>
  <c r="AB43" i="1"/>
  <c r="AF43" i="1"/>
  <c r="AC43" i="1"/>
  <c r="AA44" i="1"/>
  <c r="AF42" i="1"/>
  <c r="AB37" i="1"/>
  <c r="AF37" i="1"/>
  <c r="AG37" i="1"/>
  <c r="AC37" i="1"/>
  <c r="AB44" i="1"/>
  <c r="AC44" i="1"/>
  <c r="AA45" i="1"/>
  <c r="AD44" i="1"/>
  <c r="AE45" i="1"/>
  <c r="P35" i="1"/>
  <c r="V36" i="1"/>
  <c r="S36" i="1"/>
  <c r="V35" i="1"/>
  <c r="S35" i="1"/>
  <c r="J35" i="1"/>
  <c r="K35" i="1"/>
  <c r="L35" i="1"/>
  <c r="AD45" i="1"/>
  <c r="AE46" i="1"/>
  <c r="AB45" i="1"/>
  <c r="AC45" i="1"/>
  <c r="AA46" i="1"/>
  <c r="AF44" i="1"/>
  <c r="AA35" i="1"/>
  <c r="AB35" i="1"/>
  <c r="AE35" i="1"/>
  <c r="AD35" i="1"/>
  <c r="AC35" i="1"/>
  <c r="AA36" i="1"/>
  <c r="AF45" i="1"/>
  <c r="AB46" i="1"/>
  <c r="AC46" i="1"/>
  <c r="AA47" i="1"/>
  <c r="AD46" i="1"/>
  <c r="AE47" i="1"/>
  <c r="AE36" i="1"/>
  <c r="AD36" i="1"/>
  <c r="AF35" i="1"/>
  <c r="AB36" i="1"/>
  <c r="AC36" i="1"/>
  <c r="AD47" i="1"/>
  <c r="AE48" i="1"/>
  <c r="AB47" i="1"/>
  <c r="AC47" i="1"/>
  <c r="AA48" i="1"/>
  <c r="AF46" i="1"/>
  <c r="AG46" i="1"/>
  <c r="AF36" i="1"/>
  <c r="AG35" i="1"/>
  <c r="AF47" i="1"/>
  <c r="AG47" i="1"/>
  <c r="AB48" i="1"/>
  <c r="AC48" i="1"/>
  <c r="AA49" i="1"/>
  <c r="AD48" i="1"/>
  <c r="AE49" i="1"/>
  <c r="P32" i="1"/>
  <c r="P33" i="1"/>
  <c r="V34" i="1"/>
  <c r="S34" i="1"/>
  <c r="V33" i="1"/>
  <c r="S33" i="1"/>
  <c r="K33" i="1"/>
  <c r="L33" i="1"/>
  <c r="V32" i="1"/>
  <c r="S32" i="1"/>
  <c r="J32" i="1"/>
  <c r="K32" i="1"/>
  <c r="L32" i="1"/>
  <c r="AD49" i="1"/>
  <c r="AE50" i="1"/>
  <c r="AD50" i="1"/>
  <c r="AB49" i="1"/>
  <c r="AC49" i="1"/>
  <c r="AA50" i="1"/>
  <c r="AF48" i="1"/>
  <c r="AG48" i="1"/>
  <c r="AA32" i="1"/>
  <c r="AC32" i="1"/>
  <c r="AA33" i="1"/>
  <c r="AB33" i="1"/>
  <c r="AE33" i="1"/>
  <c r="AD33" i="1"/>
  <c r="AF49" i="1"/>
  <c r="AG49" i="1"/>
  <c r="AB50" i="1"/>
  <c r="AF50" i="1"/>
  <c r="AG50" i="1"/>
  <c r="AC50" i="1"/>
  <c r="AB32" i="1"/>
  <c r="AE34" i="1"/>
  <c r="AD34" i="1"/>
  <c r="AC33" i="1"/>
  <c r="AA34" i="1"/>
  <c r="AB34" i="1"/>
  <c r="AF33" i="1"/>
  <c r="AG33" i="1"/>
  <c r="AE32" i="1"/>
  <c r="AD32" i="1"/>
  <c r="AF32" i="1"/>
  <c r="AG32" i="1"/>
  <c r="AF34" i="1"/>
  <c r="AC34" i="1"/>
  <c r="P30" i="1"/>
  <c r="V31" i="1"/>
  <c r="S31" i="1"/>
  <c r="V30" i="1"/>
  <c r="S30" i="1"/>
  <c r="K30" i="1"/>
  <c r="L30" i="1"/>
  <c r="AA30" i="1"/>
  <c r="AC30" i="1"/>
  <c r="AA31" i="1"/>
  <c r="AB30" i="1"/>
  <c r="AE30" i="1"/>
  <c r="AB31" i="1"/>
  <c r="AC31" i="1"/>
  <c r="AD30" i="1"/>
  <c r="AF30" i="1"/>
  <c r="AE31" i="1"/>
  <c r="AD31" i="1"/>
  <c r="AF31" i="1"/>
  <c r="AG30" i="1"/>
  <c r="V29" i="1"/>
  <c r="S29" i="1"/>
  <c r="V28" i="1"/>
  <c r="S28" i="1"/>
  <c r="V27" i="1"/>
  <c r="S27" i="1"/>
  <c r="K27" i="1"/>
  <c r="L27" i="1"/>
  <c r="AA27" i="1"/>
  <c r="AC27" i="1"/>
  <c r="AA28" i="1"/>
  <c r="AE27" i="1"/>
  <c r="AD27" i="1"/>
  <c r="P27" i="1"/>
  <c r="AB27" i="1"/>
  <c r="AF27" i="1"/>
  <c r="AE28" i="1"/>
  <c r="AD28" i="1"/>
  <c r="AB28" i="1"/>
  <c r="AC28" i="1"/>
  <c r="AA29" i="1"/>
  <c r="AE29" i="1"/>
  <c r="AD29" i="1"/>
  <c r="AF28" i="1"/>
  <c r="AB29" i="1"/>
  <c r="AC29" i="1"/>
  <c r="AF29" i="1"/>
  <c r="AG27" i="1"/>
  <c r="L25" i="1"/>
  <c r="P25" i="1"/>
  <c r="V26" i="1"/>
  <c r="S26" i="1"/>
  <c r="V25" i="1"/>
  <c r="S25" i="1"/>
  <c r="K25" i="1"/>
  <c r="AA25" i="1"/>
  <c r="AE25" i="1"/>
  <c r="AD25" i="1"/>
  <c r="AB25" i="1"/>
  <c r="AC25" i="1"/>
  <c r="AA26" i="1"/>
  <c r="AE26" i="1"/>
  <c r="AD26" i="1"/>
  <c r="AF25" i="1"/>
  <c r="AB26" i="1"/>
  <c r="AC26" i="1"/>
  <c r="AF26" i="1"/>
  <c r="AG25" i="1"/>
  <c r="D24" i="1"/>
  <c r="E24" i="1"/>
  <c r="F24" i="1"/>
  <c r="G24" i="1"/>
  <c r="H24" i="1"/>
  <c r="J24" i="1"/>
  <c r="K24" i="1"/>
  <c r="L24" i="1"/>
  <c r="P24" i="1"/>
  <c r="Q24" i="1"/>
  <c r="R24" i="1"/>
  <c r="S24" i="1"/>
  <c r="T24" i="1"/>
  <c r="U24" i="1"/>
  <c r="V24" i="1"/>
  <c r="W24" i="1"/>
  <c r="X24" i="1"/>
  <c r="Y24" i="1"/>
  <c r="Z24" i="1"/>
  <c r="AA24" i="1"/>
  <c r="AB24" i="1"/>
  <c r="AC24" i="1"/>
  <c r="AD24" i="1"/>
  <c r="AE24" i="1"/>
  <c r="AF24" i="1"/>
  <c r="AG24" i="1"/>
  <c r="AH24" i="1"/>
  <c r="AI24" i="1"/>
  <c r="AJ24" i="1"/>
  <c r="AK24" i="1"/>
  <c r="AL24" i="1"/>
  <c r="AM24" i="1"/>
  <c r="AN24" i="1"/>
  <c r="L21" i="1"/>
  <c r="P21" i="1"/>
  <c r="L20" i="1"/>
  <c r="P20" i="1"/>
  <c r="L19" i="1"/>
  <c r="P19" i="1"/>
  <c r="D22" i="1"/>
  <c r="E22" i="1"/>
  <c r="F22" i="1"/>
  <c r="G22" i="1"/>
  <c r="H22" i="1"/>
  <c r="J22" i="1"/>
  <c r="K22" i="1"/>
  <c r="L22" i="1"/>
  <c r="P22" i="1"/>
  <c r="Q22" i="1"/>
  <c r="R22" i="1"/>
  <c r="S22" i="1"/>
  <c r="T22" i="1"/>
  <c r="U22" i="1"/>
  <c r="V22" i="1"/>
  <c r="W22" i="1"/>
  <c r="X22" i="1"/>
  <c r="Y22" i="1"/>
  <c r="Z22" i="1"/>
  <c r="AA22" i="1"/>
  <c r="AB22" i="1"/>
  <c r="AC22" i="1"/>
  <c r="AD22" i="1"/>
  <c r="AE22" i="1"/>
  <c r="AF22" i="1"/>
  <c r="AG22" i="1"/>
  <c r="AH22" i="1"/>
  <c r="AI22" i="1"/>
  <c r="AJ22" i="1"/>
  <c r="AK22" i="1"/>
  <c r="AL22" i="1"/>
  <c r="AM22" i="1"/>
  <c r="AN22" i="1"/>
  <c r="Q23" i="1"/>
  <c r="R23" i="1"/>
  <c r="S23" i="1"/>
  <c r="T23" i="1"/>
  <c r="U23" i="1"/>
  <c r="V23" i="1"/>
  <c r="W23" i="1"/>
  <c r="X23" i="1"/>
  <c r="Y23" i="1"/>
  <c r="Z23" i="1"/>
  <c r="AA23" i="1"/>
  <c r="AB23" i="1"/>
  <c r="AC23" i="1"/>
  <c r="AD23" i="1"/>
  <c r="AE23" i="1"/>
  <c r="AF23" i="1"/>
  <c r="V21" i="1"/>
  <c r="S21" i="1"/>
  <c r="K21" i="1"/>
  <c r="V20" i="1"/>
  <c r="S20" i="1"/>
  <c r="AE20" i="1"/>
  <c r="AD20" i="1"/>
  <c r="J20" i="1"/>
  <c r="K20" i="1"/>
  <c r="V19" i="1"/>
  <c r="S19" i="1"/>
  <c r="K19" i="1"/>
  <c r="AA21" i="1"/>
  <c r="AB21" i="1"/>
  <c r="AA20" i="1"/>
  <c r="AE19" i="1"/>
  <c r="AD19" i="1"/>
  <c r="AA19" i="1"/>
  <c r="AC21" i="1"/>
  <c r="AE21" i="1"/>
  <c r="AD21" i="1"/>
  <c r="AF21" i="1"/>
  <c r="AG21" i="1"/>
  <c r="AC20" i="1"/>
  <c r="AB20" i="1"/>
  <c r="AF20" i="1"/>
  <c r="AG20" i="1"/>
  <c r="AB19" i="1"/>
  <c r="AF19" i="1"/>
  <c r="AG19" i="1"/>
  <c r="AC19" i="1"/>
  <c r="D18" i="1"/>
  <c r="E18" i="1"/>
  <c r="F18" i="1"/>
  <c r="G18" i="1"/>
  <c r="H18" i="1"/>
  <c r="J18" i="1"/>
  <c r="K18" i="1"/>
  <c r="L18" i="1"/>
  <c r="P18" i="1"/>
  <c r="Q18" i="1"/>
  <c r="R18" i="1"/>
  <c r="S18" i="1"/>
  <c r="T18" i="1"/>
  <c r="U18" i="1"/>
  <c r="V18" i="1"/>
  <c r="W18" i="1"/>
  <c r="X18" i="1"/>
  <c r="Y18" i="1"/>
  <c r="Z18" i="1"/>
  <c r="AA18" i="1"/>
  <c r="AB18" i="1"/>
  <c r="AC18" i="1"/>
  <c r="AD18" i="1"/>
  <c r="AE18" i="1"/>
  <c r="AF18" i="1"/>
  <c r="AH18" i="1"/>
  <c r="AI18" i="1"/>
  <c r="AJ18" i="1"/>
  <c r="AK18" i="1"/>
  <c r="AL18" i="1"/>
  <c r="AM18" i="1"/>
  <c r="AN18" i="1"/>
  <c r="L12" i="1"/>
  <c r="P12" i="1"/>
  <c r="L17" i="1"/>
  <c r="P17" i="1"/>
  <c r="P11" i="1"/>
  <c r="V17" i="1"/>
  <c r="S17" i="1"/>
  <c r="K17" i="1"/>
  <c r="V16" i="1"/>
  <c r="S16" i="1"/>
  <c r="V15" i="1"/>
  <c r="S15" i="1"/>
  <c r="K15" i="1"/>
  <c r="L15" i="1"/>
  <c r="AA15" i="1"/>
  <c r="AC15" i="1"/>
  <c r="AA16" i="1"/>
  <c r="AA17" i="1"/>
  <c r="AB17" i="1"/>
  <c r="AE15" i="1"/>
  <c r="AD15" i="1"/>
  <c r="AE17" i="1"/>
  <c r="AD17" i="1"/>
  <c r="AB15" i="1"/>
  <c r="AF15" i="1"/>
  <c r="AC17" i="1"/>
  <c r="AE16" i="1"/>
  <c r="AD16" i="1"/>
  <c r="AF17" i="1"/>
  <c r="AB16" i="1"/>
  <c r="AC16" i="1"/>
  <c r="AG15" i="1"/>
  <c r="AG18" i="1"/>
  <c r="AG17" i="1"/>
  <c r="AF16" i="1"/>
  <c r="V14" i="1"/>
  <c r="S14" i="1"/>
  <c r="V13" i="1"/>
  <c r="S13" i="1"/>
  <c r="V12" i="1"/>
  <c r="S12" i="1"/>
  <c r="K12" i="1"/>
  <c r="AE12" i="1"/>
  <c r="AA12" i="1"/>
  <c r="AC12" i="1"/>
  <c r="AA13" i="1"/>
  <c r="AB12" i="1"/>
  <c r="AD12" i="1"/>
  <c r="AE13" i="1"/>
  <c r="AG45" i="1"/>
  <c r="AG42" i="1"/>
  <c r="AD13" i="1"/>
  <c r="AE14" i="1"/>
  <c r="AD14" i="1"/>
  <c r="AG44" i="1"/>
  <c r="AF12" i="1"/>
  <c r="AG12" i="1"/>
  <c r="AC13" i="1"/>
  <c r="AB13" i="1"/>
  <c r="AF13" i="1"/>
  <c r="AA14" i="1"/>
  <c r="AC14" i="1"/>
  <c r="AB14" i="1"/>
  <c r="AF14" i="1"/>
  <c r="V11" i="1"/>
  <c r="S11" i="1"/>
  <c r="K11" i="1"/>
  <c r="L11" i="1"/>
  <c r="AA11" i="1"/>
  <c r="AE11" i="1"/>
  <c r="AD11" i="1"/>
  <c r="AB11" i="1"/>
  <c r="AC11" i="1"/>
  <c r="AF11" i="1"/>
  <c r="AG11" i="1"/>
  <c r="V10" i="1"/>
  <c r="S10" i="1"/>
  <c r="J8" i="18"/>
  <c r="K9" i="1"/>
  <c r="O9" i="1"/>
  <c r="P9" i="1"/>
  <c r="X18" i="18"/>
  <c r="X10" i="18"/>
  <c r="P10" i="18"/>
  <c r="L18" i="18"/>
  <c r="L10" i="18"/>
  <c r="T18" i="18"/>
  <c r="T10" i="18"/>
  <c r="H18" i="18"/>
  <c r="H10" i="18"/>
  <c r="X22" i="18"/>
  <c r="X6" i="18"/>
  <c r="P14" i="18"/>
  <c r="P6" i="18"/>
  <c r="L22" i="18"/>
  <c r="L14" i="18"/>
  <c r="L6" i="18"/>
  <c r="T22" i="18"/>
  <c r="T6" i="18"/>
  <c r="H22" i="18"/>
  <c r="H14" i="18"/>
  <c r="H6" i="18"/>
  <c r="V20" i="18"/>
  <c r="R8" i="18"/>
  <c r="V12" i="18"/>
  <c r="R24" i="18"/>
  <c r="N8" i="18"/>
  <c r="Z12" i="18"/>
  <c r="R20" i="18"/>
  <c r="J16" i="18"/>
  <c r="N20" i="18"/>
  <c r="J12" i="18"/>
  <c r="N16" i="18"/>
  <c r="Z20" i="18"/>
  <c r="V24" i="18"/>
  <c r="J24" i="18"/>
  <c r="J20" i="18"/>
  <c r="N24" i="18"/>
  <c r="Z24" i="18"/>
  <c r="Z8" i="18"/>
  <c r="V8" i="18"/>
  <c r="R12" i="18"/>
  <c r="N12" i="18"/>
  <c r="V9" i="1"/>
  <c r="S9" i="1"/>
  <c r="L9" i="1"/>
  <c r="AE9" i="1"/>
  <c r="AE10" i="1"/>
  <c r="AD10" i="1"/>
  <c r="AG40" i="1"/>
  <c r="AA9" i="1"/>
  <c r="AC9" i="1"/>
  <c r="AA10" i="1"/>
  <c r="AC10" i="1"/>
  <c r="AB10" i="1"/>
  <c r="AG9" i="1"/>
  <c r="AF10" i="1"/>
  <c r="R22" i="18"/>
  <c r="J10" i="18"/>
  <c r="Z6" i="18"/>
  <c r="R6" i="18"/>
  <c r="J18" i="18"/>
  <c r="J6" i="18"/>
  <c r="N10" i="18"/>
  <c r="V10" i="18"/>
  <c r="V22" i="18"/>
  <c r="N6" i="18"/>
  <c r="V6" i="18"/>
  <c r="R10" i="18"/>
  <c r="N14" i="18"/>
  <c r="J14" i="18"/>
  <c r="N18" i="18"/>
  <c r="Z22" i="18"/>
  <c r="V18" i="18"/>
  <c r="Z18" i="18"/>
  <c r="R18" i="18"/>
  <c r="N22" i="18"/>
  <c r="J22" i="18"/>
  <c r="Z10" i="18"/>
  <c r="H20" i="18"/>
  <c r="P16" i="18"/>
  <c r="X20" i="18"/>
  <c r="T24" i="18"/>
  <c r="T8" i="18"/>
  <c r="L12" i="18"/>
  <c r="H24" i="18"/>
  <c r="X12" i="18"/>
  <c r="P12" i="18"/>
  <c r="L16" i="18"/>
  <c r="H16" i="18"/>
  <c r="H12" i="18"/>
  <c r="L20" i="18"/>
  <c r="T20" i="18"/>
  <c r="T12" i="18"/>
  <c r="L8" i="18"/>
  <c r="X8" i="18"/>
  <c r="L24" i="18"/>
  <c r="P8" i="18"/>
  <c r="H8" i="18"/>
  <c r="X24" i="18"/>
  <c r="AB9" i="1"/>
  <c r="AD9" i="1"/>
  <c r="A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7" authorId="0" shapeId="0" xr:uid="{00000000-0006-0000-0200-000001000000}">
      <text>
        <r>
          <rPr>
            <b/>
            <sz val="9"/>
            <color indexed="81"/>
            <rFont val="Tahoma"/>
            <family val="2"/>
          </rPr>
          <t>user:</t>
        </r>
        <r>
          <rPr>
            <sz val="9"/>
            <color indexed="81"/>
            <rFont val="Tahoma"/>
            <family val="2"/>
          </rPr>
          <t xml:space="preserve">
• Cliente-proveedor-empleado
• Empleados-contratistas
• Contraparte- (empleados, clientes, particulares y asociados, terceros vinculados y proveedores)
• empleado
• contraparte-cliente-proveedor-empleado -contratista.
•  contratista-empleado-proveedor
</t>
        </r>
      </text>
    </comment>
    <comment ref="R48" authorId="0" shapeId="0" xr:uid="{00000000-0006-0000-0200-000002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<sst xmlns="http://schemas.openxmlformats.org/spreadsheetml/2006/main" count="1113" uniqueCount="488">
  <si>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</si>
  <si>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</si>
  <si>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</si>
  <si>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</si>
  <si>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</si>
  <si>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</si>
  <si>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</si>
  <si>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</si>
  <si>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</si>
  <si>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</si>
  <si>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</si>
  <si>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</si>
  <si>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</si>
  <si>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</si>
  <si>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</si>
  <si>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</si>
  <si>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</si>
  <si>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</si>
  <si>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</si>
  <si>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</si>
  <si>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</si>
  <si>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</si>
  <si>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</si>
  <si>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</si>
  <si>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</si>
  <si>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</si>
  <si>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</si>
  <si>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</si>
  <si>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</si>
  <si>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</si>
  <si>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</si>
  <si>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</si>
  <si>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</si>
  <si>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</si>
  <si>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</si>
  <si>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</si>
  <si>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</si>
  <si>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</si>
  <si>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</si>
  <si>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</si>
  <si>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Probabilidad Residual Final</t>
  </si>
  <si>
    <t>Impacto Residual Final</t>
  </si>
  <si>
    <t>Zona de Riesgo Inherente</t>
  </si>
  <si>
    <t>Clasificación del Riesgo</t>
  </si>
  <si>
    <t>Muy Baja</t>
  </si>
  <si>
    <t>Frecuencia de la Actividad</t>
  </si>
  <si>
    <t>Baja</t>
  </si>
  <si>
    <t>Muy Alta</t>
  </si>
  <si>
    <t>Tabla Criterios para definir el nivel de probabilidad</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</si>
  <si>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</si>
  <si>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</si>
  <si>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</si>
  <si>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</si>
  <si>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</si>
  <si>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</si>
  <si>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</si>
  <si>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</si>
  <si>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</si>
  <si>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</si>
  <si>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</si>
  <si>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</si>
  <si>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</si>
  <si>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</si>
  <si>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</si>
  <si>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</si>
  <si>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</si>
  <si>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</si>
  <si>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</si>
  <si>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Plan de accion (solo para la opción reducir)</t>
  </si>
  <si>
    <t>Criterios de impacto</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</si>
  <si>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</si>
  <si>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</si>
  <si>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</si>
  <si>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</si>
  <si>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</si>
  <si>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</si>
  <si>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</si>
  <si>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</si>
  <si>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</si>
  <si>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</si>
  <si>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</si>
  <si>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</si>
  <si>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</si>
  <si>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</si>
  <si>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</si>
  <si>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</si>
  <si>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</si>
  <si>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</si>
  <si>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</si>
  <si>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</si>
  <si>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</si>
  <si>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</si>
  <si>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</si>
  <si>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</si>
  <si>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</si>
  <si>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</si>
  <si>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</si>
  <si>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</si>
  <si>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</si>
  <si>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</si>
  <si>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</si>
  <si>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</si>
  <si>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</si>
  <si>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</si>
  <si>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Análisis del riesgo inherente</t>
  </si>
  <si>
    <t>Evaluación del riesgo - Valoración de los controles</t>
  </si>
  <si>
    <t>Evaluación del riesgo - Nivel del riesgo residual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</si>
  <si>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</si>
  <si>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</si>
  <si>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</si>
  <si>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</si>
  <si>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</si>
  <si>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</si>
  <si>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</si>
  <si>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</si>
  <si>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</si>
  <si>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</si>
  <si>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</si>
  <si>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</si>
  <si>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</si>
  <si>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</si>
  <si>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</si>
  <si>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</si>
  <si>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</si>
  <si>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</si>
  <si>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</si>
  <si>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</si>
  <si>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</si>
  <si>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</si>
  <si>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</si>
  <si>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</si>
  <si>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</si>
  <si>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</si>
  <si>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</si>
  <si>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</si>
  <si>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</si>
  <si>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</si>
  <si>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</si>
  <si>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</si>
  <si>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</si>
  <si>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</si>
  <si>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</si>
  <si>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</si>
  <si>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</si>
  <si>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</si>
  <si>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</si>
  <si>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</si>
  <si>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</si>
  <si>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</si>
  <si>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</si>
  <si>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</si>
  <si>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</si>
  <si>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</si>
  <si>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</si>
  <si>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Soporte Evidencia</t>
  </si>
  <si>
    <t>Indicador Producto</t>
  </si>
  <si>
    <t>CODIGO: OADS-F-14</t>
  </si>
  <si>
    <t xml:space="preserve">ESE HOSPITAL UNIVERSITARIO SAN RAFAEL DE TUNJA </t>
  </si>
  <si>
    <t xml:space="preserve">MAPA DE RIESGOS DE CORRUPCIÓN </t>
  </si>
  <si>
    <t>CONTROL DE CAMBIOS</t>
  </si>
  <si>
    <t>No. VERSION</t>
  </si>
  <si>
    <t>FECHA</t>
  </si>
  <si>
    <t xml:space="preserve"> RESPONSABLE </t>
  </si>
  <si>
    <t>DESCRIPCION</t>
  </si>
  <si>
    <t>27/10/2020</t>
  </si>
  <si>
    <t>María Pilar Patiño Bello</t>
  </si>
  <si>
    <t>Revision de formato</t>
  </si>
  <si>
    <t>Se Actualiza formato, inclusión de criterios</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</si>
  <si>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</si>
  <si>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</si>
  <si>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</si>
  <si>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</si>
  <si>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</si>
  <si>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</si>
  <si>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</si>
  <si>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</si>
  <si>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</si>
  <si>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</si>
  <si>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</si>
  <si>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</si>
  <si>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</si>
  <si>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¿Generar pérdida de credibilidad del sector?</t>
  </si>
  <si>
    <t>¿Ocasionar lesiones físicas o pérdida de vidas humanas?</t>
  </si>
  <si>
    <t>¿Afectar la imagen regional?</t>
  </si>
  <si>
    <t>¿Afectar la imagen nacional?</t>
  </si>
  <si>
    <t>Respuesta</t>
  </si>
  <si>
    <t>Si</t>
  </si>
  <si>
    <t>No</t>
  </si>
  <si>
    <t>Riesgo 1</t>
  </si>
  <si>
    <t>Riesgo 2</t>
  </si>
  <si>
    <t>Riesgo 3</t>
  </si>
  <si>
    <t>Riesgo 4</t>
  </si>
  <si>
    <t>Riesgo 5</t>
  </si>
  <si>
    <t>Total de preguntas afirmativas</t>
  </si>
  <si>
    <t>Total preguntas negativas</t>
  </si>
  <si>
    <t>Puntaje Respuestas</t>
  </si>
  <si>
    <t>Calificación del Riesgo</t>
  </si>
  <si>
    <t>Respuestas</t>
  </si>
  <si>
    <t>Catastrofico</t>
  </si>
  <si>
    <t xml:space="preserve">No. </t>
  </si>
  <si>
    <t>¿Dar lugar a procesos Penales?</t>
  </si>
  <si>
    <t>¿Genera Daño Ambiental?</t>
  </si>
  <si>
    <t>Se inlcuye columna G para identificación de Subproceso</t>
  </si>
  <si>
    <t>Subproceso</t>
  </si>
  <si>
    <t>VERSION: 02</t>
  </si>
  <si>
    <t>FECHA: 27/10/2020</t>
  </si>
  <si>
    <t>control interno</t>
  </si>
  <si>
    <t>Legales:  Normatividad cambiante
Situaciones coyunturales económicas: disminución o no aumento del recurso asignado.
Ambientales y de Salubridad: El problema de salubridad pública y ambiental, (una pandemia, la contaminación excesiva) es un aspecto importante que puede llegar a afectar el cumplimiento de los objetivos de proceso como institucionales.
Políticos: Disposiciones del Gobierno Nacional que afecten el funcionamiento de las entidades del estado</t>
  </si>
  <si>
    <t>¿Hay situaciones Externas que puedan afectar el cumplimiento del objetivo?
¿Cuáles? (Políticos, económicos y financieros, Sociales y culturales, tecnológicos,ambientales,legales y reglamentarios) ¿Qué actividades del proceso, plan, programa o proyecto, son propensas a actos de corrupción, como porejemplo: tráfico de influencias, acción u omisión,uso del poder, beneficio privado, solicitud o aceptación de dádivas, fraude?. ¿afecta(n) el
cumplimiento del objetivo?</t>
  </si>
  <si>
    <t>CONTEXTO INTERNO</t>
  </si>
  <si>
    <t>CONTEXTO EXTERNO</t>
  </si>
  <si>
    <t>¿Hay situaciones Internas que puedan afectar el cumplimiento del objetivo? ¿Cuáles?
(financieros, personal, procesos, tecnología,estrátegicos, comunicación interna.) ¿Qué actividades del proceso, plan, programa o proyecto, son propensas a actos de corrupción,
como por ejemplo: tráfico de influencias, acción u
omisión, uso del poder, beneficio privado, solicitud o aceptación de dádivas, fraude?.
¿afecta(n) el cumplimiento del objetivo?</t>
  </si>
  <si>
    <t>Personal: El cumplimiento de los objetivos se podría ver afectado por la falta de personal multidisciplinario en la Oficina de Control Interno, teniendo en cuenta que las actividades que se planean para cada vigencia requieren de habilidades y perfiles específicos.
Distribución de Carga laboral: Los objetivos pueden verse afectados por la falta de personal y la distribución sobre cargada o inequitativa de las actividades establecidas, por la mala planificación según el plan de trabajo interno y programa de Auditoría de la OCI.
Financiero: la falta de asignación de recursos solicitados o la no vinculación de personal calificado por falta de recursos internos, puede llegar a afectar las actividades y objetivos.
Tecnológicos: La falta de elementos y equipos suficientes para la condensación de tareas y la digitalización de la información que pueden llegar a generar afectaciones en el tratamiento y perdida de la información</t>
  </si>
  <si>
    <t>CONTEXTO DEL PROCESO</t>
  </si>
  <si>
    <t>¿Hay situaciones del proceso que puedan afectar el cumplimiento del objetivo? ¿Cuáles? (diseño
del proceso, interrelaciones con otros procesos, transversalidad, procedimientos asociados,
responsables del proceso, comunicación entre los
procesos)</t>
  </si>
  <si>
    <t>Procesos: Desconocimiento de los procedimientos administrativos por parte de los funcionarios
Procedimientos: Actividades sin definir en los procedimientos y/o manuales, que en su ejecución tengan relevancia en las actividades descritas para la OCI y falta de controles que permitan garantizar la eficacia, eficiencia y efectividad de las mismas.
Incumplimientos de las normativas internas y externas: falta de Observación de los lineamientos legales, políticas y procedimientos, que puede afectar la calidad de las auditorias e informes afectando el objetivo institucional.
Falta de comunicación entre los procesos: la Falta de sinergia entre los diferentes procesos y la no coacción de estos con el proceso de evaluación y control, pueden generar inobservancia o interpretaciones erradas de las recomendación y conclusiones entregadas por la OCI
Personal: Aumento de la carga laboral 
Tecnología: Perdida o deterioro de los equipos y elementos necesarios para la prestación de los servicios</t>
  </si>
  <si>
    <t>OPORTUNIDADES</t>
  </si>
  <si>
    <t xml:space="preserve">DEBILIDADES </t>
  </si>
  <si>
    <t>1. Se evidencia la existencia de mapas de riesgos y de controles, los cuales no son revisados y actualizados permanentemente para hacerlos  más eficientes y efectivos acorde con las actualizaciones normativas y el contexto institucional.
2. Falta de inducción y reinducción permanente a los funcionarios  que les permita apropiar el autocontrol al interior de los procesos.
3. Falencias en la  formulación de los diferentes planes y el seguimiento de los mismos, sin tener en cuenta las actualizaciones
normativas y las dispocisiones internas.
4. El no contar con el recurso humano suficiente
5. desconocimiento del sistema de Control interno, y el hecho de no asumir la responsabilidad que compete en la implementación mantenimiento y mejora del Sistema de Control Interno.
6. La falta de seguimiento y control a los planes de trabajo
7. el desconocimiento o desactualización normativa
8. la no entrega oportuna de los insumos de información
9. la falta de capacitación</t>
  </si>
  <si>
    <t xml:space="preserve">
Se verificará coherencia entre los objetivos propuestas en el plan de auditoria ( OACI-F-04) y los informes preliminar y final presentado por el auditor</t>
  </si>
  <si>
    <t>Posibilidad de Sanciones, pérdida de credibilidad y confiabilidad en los informes de control interno  por Manipulación en la Gestión de las auditorías con el fin de beneficiar o desfavorecer a un Proceso y/o Subproceso de la Entidad.</t>
  </si>
  <si>
    <t xml:space="preserve">1. Inaplicabilidad del Estatuto de Auditoría (Desconocimiento de los principios de independencia, objetividad e imparcialidad por parte de los Auditores así mismo el indebido direccionamiento.
2. trafico de influencias, Ocultamiento o utilización de información a
favor de un tercero
3.  Falta de criterio y objetividad del auditor). </t>
  </si>
  <si>
    <t>Ejecución y Administración de procesos</t>
  </si>
  <si>
    <t xml:space="preserve">El asesor de  la oficina de Control Interno según Plan Anual de auditoria OACI-F-02 y  cuando se presente para su aprobación el Plan de trabajo de la Auditoria, verificará la suscripción de la declaración de conocimiento código de Ética del Auditor Interno y la suscripción de la carta de Representación de la veracidad de la información  según lo establecido  Manual de auditoria  OACI-M-01, a través del Anexo 1 Declaración de Conocimiento código de Ética de la Auditoria Interna y la  carta de representación de veracidad y oportunidad de la información OACI-F-06 </t>
  </si>
  <si>
    <r>
      <t>Plan Anual de auditoria OACI-F-02</t>
    </r>
    <r>
      <rPr>
        <sz val="10"/>
        <color rgb="FFFF0000"/>
        <rFont val="Tahoma"/>
        <family val="2"/>
      </rPr>
      <t xml:space="preserve">
</t>
    </r>
    <r>
      <rPr>
        <sz val="10"/>
        <color theme="1"/>
        <rFont val="Tahoma"/>
        <family val="2"/>
      </rPr>
      <t>Declaración de Conocimiento código de Ética de la Auditoria Interna  Anexo 1 de Código de Ética
Carta de representación de veracidad de la información OACI-F-06  
Formato OACI-F-15 Compromiso de confidencialidad del Auditor</t>
    </r>
  </si>
  <si>
    <t xml:space="preserve">
Se validará  la suscripción  del la declaración de conocimiento código de Ética Auditoria Interna anexo 1 el cual debe hacer parte de los documentos de la Auditoria realizada a cada proceso</t>
  </si>
  <si>
    <t>El asesor  de la oficina de Control Interno según Plan Anual de auditoria OACI-F-02 Verifica el grado de conformidad y cumplimiento frente a las disposiciones planificadas por la institución y los requisitos aplicables a éstos, según lo establecido en el procedimiento Realización de auditorias internas OACI-PR-02, mediante el formato   OACI-F-04 Plan de auditoria OACI-F-04 e Informe Fina de Auditorial OACI-F-16</t>
  </si>
  <si>
    <t>Plan de auditoria OACI-F-04
Informe final  de Auditoria OACI-F-16</t>
  </si>
  <si>
    <t xml:space="preserve">Declaración del conocimiento codigo de etica </t>
  </si>
  <si>
    <t xml:space="preserve">Zona de Riesgo </t>
  </si>
  <si>
    <t>enero a diciembre de 2023</t>
  </si>
  <si>
    <t>Cuatrimestral</t>
  </si>
  <si>
    <t>CONTROL INTERNO</t>
  </si>
  <si>
    <t>Carencia de controles en la entrega de mercancias</t>
  </si>
  <si>
    <t>Posibilidad de incumplimiento de necesidades de la entidad debido al favorecimiento por la aceptación de bienes e insumos que no cumplan lo establecido contractualmente.</t>
  </si>
  <si>
    <t>Gestión Suministros y Activos Fijos</t>
  </si>
  <si>
    <t>El lider de almacén según la necesidad verifica el cumplimiento contractual frente a las especificaciones técnicas de los bienes e insumos a ingresar según lo establecido en el procedimiento  A-PR-01 Ingreso de Mercancias a través de facturas y certificaciones de recibido a satisfacción</t>
  </si>
  <si>
    <t>Factura, Certificación de recibido a satisfacción; informe mensual de ingreso y egresos a contabildad</t>
  </si>
  <si>
    <t>NA</t>
  </si>
  <si>
    <t xml:space="preserve">Falta de control en los requisitos técnicos frente a cada una de las especificaciones establecidas en el anexo tecnico. 
</t>
  </si>
  <si>
    <t>Posibilidad detrimento patrimonial por adquisición de equipos médicos de baja calidad  debido al favorecimiento en la emisión de Conceptos Técnicos y Certificaciones en la Contratación asociada a la adquisición  de Equipos Médicos, con beneficio lucrativo propio.</t>
  </si>
  <si>
    <t>GESTIÓN TECNOLÓGICA</t>
  </si>
  <si>
    <t>C-F-28 Estudio conveniencia y oportunidad,  Anexo  Especificaciones Técnicas</t>
  </si>
  <si>
    <t xml:space="preserve">Realizar aplicación  Anexo técnico 
Especificaciones Técnicas y Servicios Posventa de compra de equipos </t>
  </si>
  <si>
    <t>Coordinador Biomedica</t>
  </si>
  <si>
    <t>Enero a Diciembre de 2023</t>
  </si>
  <si>
    <t>Anexo tecnico en estudio previos y concepto técnico</t>
  </si>
  <si>
    <t>El líder de Biomédica, basado en la oferta de tecnologías del mercado realiza el análisis de especificaciones técnicas conforme a la necesidad del Hospital evaluando su pertinencia, por medio del  Anexo técnico,   Especificaciones Técnicas y Servicios Posventa, analizadas a través del formato C-F-31 Evaluación Técnica Definitiva.</t>
  </si>
  <si>
    <t xml:space="preserve">Formato C-F-31 Evaluación Técnica Definitiva, contrato, anexo técnico, especificaciones técnicas y servicios posventa. </t>
  </si>
  <si>
    <t>El líder de Biómedica conforme a la necesidad verifica el cumplimiento de las especificaciones técnicas de los equipos de acuerdo a la pertinencia y efectividad de la tecnología solicitada conforme a lo establecido en el procedimiento IB-PR-09 Análisis de Ingreso de nuevas Tecnologías mediante el formato IB-F-01 Proceso de validación de ingreso de Activos relacionados con equipos biomédicos</t>
  </si>
  <si>
    <t>IB-F-01 Formato Proceso de validación de ingreso de Activos relacionado con equipos Biomédicos
Acta de recibo del equipo a satisfacción</t>
  </si>
  <si>
    <t>No aplicación de lo establecido en el manual de contratación en lo referente a la selección objetiva</t>
  </si>
  <si>
    <r>
      <rPr>
        <b/>
        <sz val="10"/>
        <color rgb="FFFF0000"/>
        <rFont val="Tahoma"/>
        <family val="2"/>
      </rPr>
      <t>Etapa de Selección:</t>
    </r>
    <r>
      <rPr>
        <sz val="10"/>
        <rFont val="Tahoma"/>
        <family val="2"/>
      </rPr>
      <t xml:space="preserve"> Posibilidad de investigaciones y sanciones disciplinarias, penales y fiscales debido a la vulneracion a principios de la contratacion pública a favor de un tercero en la selección del contratista</t>
    </r>
  </si>
  <si>
    <t>GESTIÓN DE CONTRATACIÓN</t>
  </si>
  <si>
    <t>Relación de contratos suscritos en el periodo evaluado, Publicación en el SECOP y pagina web, evaluación del contratista, respuesta a observaciones, acta de cierre del proceso, propuesta oferente, estudios previos y demas soportes asociados a la etapa precontractual. C-F-31, C-F-29, TH- F-68</t>
  </si>
  <si>
    <t>La secretaria tecnica del comité de contratacion según necesidad, Para el caso de convocatoria pública, documentara a traves de actas, el estudio del proceso y la selección del contratista</t>
  </si>
  <si>
    <t>Actas de comité de contratación realizadas en el periodo evalluado</t>
  </si>
  <si>
    <t>No aplicación de lo establecido en la ley 1474 de 2011</t>
  </si>
  <si>
    <r>
      <rPr>
        <b/>
        <sz val="10"/>
        <color rgb="FFFF0000"/>
        <rFont val="Tahoma"/>
        <family val="2"/>
      </rPr>
      <t>Etapa de Ejecución</t>
    </r>
    <r>
      <rPr>
        <sz val="10"/>
        <rFont val="Tahoma"/>
        <family val="2"/>
      </rPr>
      <t>: 
Posibilidad de investigaciones de carácter penal debido al favorecimiento a un tercero en la aceptación de bienes y/o servicios que no cumplan con las condiciones tecnicas exigidas y/o las actividades del objeto contractual</t>
    </r>
  </si>
  <si>
    <t>El supervisor o interventor del proceso revisa y avala cada uno de los elementos que ingresan a la entidad, con el fin de que cumplan con criterios de calidad, de igual forma hace seguimiento a las actividades que realizan los contratistas, conforme al objeto contractual  dando cumplimiento estricto al  Manual de supervisión e interventoria.</t>
  </si>
  <si>
    <t>Listado de contratos, Informes de supervisión, documentos de ejecución del contrato.</t>
  </si>
  <si>
    <t>GESTION FINANCIERA</t>
  </si>
  <si>
    <t xml:space="preserve">Falta de seguimiento a la aceptacion de la glosa                </t>
  </si>
  <si>
    <t>Posibilidad de Pérdida Recursos económicos de la Entidad y/o                      Investigaciones y sanciones disciplinarias por recibir sobornos por aceptación de Glosa a favor de las entidades Responsables de Pago</t>
  </si>
  <si>
    <t>Auditoria Cuentas Médicas</t>
  </si>
  <si>
    <t xml:space="preserve">El Coordinador del Proceso, Auditores (Externo y de la ESE) y Técnico de Cuentas Médicas, según necesidad levantan acta de reunión de análisis conjunto con las ERP con las cuales existen glosas reiteardas  según lo establecido en el procedimiento AM-PR-03 Acta de levantamiento y/o aceptación de glosas y devoluciones, medido a través del indicador 546 Aceptación de glosa de la vigencia con una meta establecida &lt;=4% sobre la facturación neta de la vigencia </t>
  </si>
  <si>
    <t>AM-F-03 acta de levantamiento de glosa, indicador mensual 546 Aceptación de glosa de la vigencia,  Informe trimestral de análiisis de aceptación de glosa, notas crédito mensual.</t>
  </si>
  <si>
    <t>No aplicación  de las medidas establecidas en el procedimiento F-PR-15  Auditoria administrativa</t>
  </si>
  <si>
    <t>Posibilidad de Pérdida de Recursos económicos de la Instiución por NO facturar servicios prestados por interéses particulares</t>
  </si>
  <si>
    <t>Facturación</t>
  </si>
  <si>
    <t>El Analista principal diariamiente verifica que los egresos generados esten efectivamente facturados, de acuerdo a lo establecido en el procedimiento F-PR-15 Audtoría Administrativa, a través del formato F-F-17 Control de evidencias por facturación revisada</t>
  </si>
  <si>
    <t xml:space="preserve">Formato F-F-17  Control de evidencias por facturación revisada. (consolida en una bases de datos).
Informe mensual Socialización de inconsistencias encontradas y planes de mejora a implementar.
</t>
  </si>
  <si>
    <t xml:space="preserve">El líder de cartera y técnico de cartera dan el trámite respectivo para el proceso administrativo de cobro según sea el caso (persuasivo, prejurídico y jurídico) y según necesidad conforme lo establece el Procedimiento CAR-PR-12 Proceso de Cobro y Procedimiento CAR-PR-06 Recuado Pagares </t>
  </si>
  <si>
    <t>Base de datos Pagares, Informe mensual de cartera, informe trimestral de estado de cartera (Pagares), Acta comité.</t>
  </si>
  <si>
    <t>Omision de los controles establecidos en los procedimientos</t>
  </si>
  <si>
    <t>Posibilidad de pérdida de recursos debido a que los funcionarios de cartera puedan ser objeto de concusión en ejercicio de sus funciones, por parte de los responsables de pago</t>
  </si>
  <si>
    <t>Cartera</t>
  </si>
  <si>
    <t>GESTION ADMINISTRATIVA</t>
  </si>
  <si>
    <t>GESTION DOCUMENTAL</t>
  </si>
  <si>
    <t>GESTION JURIDICA</t>
  </si>
  <si>
    <t xml:space="preserve">Falta de control en los requisitos técnicos frente a cada una de las especificaciones establecidas en el estudio previo. 
</t>
  </si>
  <si>
    <t>Posibilidad de Sanciones administrativas y disciplinarias por Favorecimiento a un tercero  en la emisión de Conceptos Técnicos en la Contratación asociada a la adquisición, mantenimiento de   infraestructura hospitalaria y  equipo industrial.</t>
  </si>
  <si>
    <t>Gestión Mantenimiento</t>
  </si>
  <si>
    <t>C-F-28 Estudio Previo de Conveniencia y Oportunidad</t>
  </si>
  <si>
    <t xml:space="preserve">Dar aplicación estricta a lo que establece las especificaciones técnicas y el Estudio de conveniencia y oportunidad </t>
  </si>
  <si>
    <t>Coordinador de Mantenimiento</t>
  </si>
  <si>
    <t>Enero a diciembre de 2023</t>
  </si>
  <si>
    <t>C-F-28 Estudio de conveniencia y oportunidad
C-F-31 Evaluación ténica definida</t>
  </si>
  <si>
    <t>Según la necesidad el líder de mantenimiento basado en las especificaciones técnicas y las ofertas presentadas por los proveedores emite el Concepto Técnico a través del formato C-F-31 Evaluación técnica Definitiva</t>
  </si>
  <si>
    <t xml:space="preserve">
Evaluación Técnica definitiva C-F-31
Especificaciones Técnicas
Propuestas</t>
  </si>
  <si>
    <t>GESTION DE MANTENIMIENTO</t>
  </si>
  <si>
    <t>No validacion de la informacion publicada.</t>
  </si>
  <si>
    <t>Posibilidad de Pérdida de recursos e imagen institucional debido a la alteración de la Información registrada en los Sistemas de información por parte de uno o más colaboradores del proceso en favorecimiento de un tercero.</t>
  </si>
  <si>
    <t>Sistemas</t>
  </si>
  <si>
    <t>El profesional del proceso de TIC genera los datos del sistema de Información Servinte Clinical Suite Enterprise de acuerdo con el Instructivo Reporte de 2193 Ministerio de Salud 6.0.
Los datos generados del sistema son publicados en archivo de Excel en la ruta:\\HSRTUNCLU\Estadisticas\Estadisticas\  para revisión y uso de la información por las diferentes áreas del hospital, mediante la protección contra escritura del archivo publicado y con permisos de acceso a las áreas directamente implicadas</t>
  </si>
  <si>
    <t>Informe de 2193 publicado en la ruta respectiva, correos electrónicos de la gestión del reporte
\\hsrtunclu\Estadisticas\Estadisticas\Estadisticas_2022\Decreto_2193_2022</t>
  </si>
  <si>
    <t>Validar la información generada y reportar novedades a las áreas respectivas</t>
  </si>
  <si>
    <t>Lider Unidad Análisis Estadístico</t>
  </si>
  <si>
    <t>Correos electrónicos</t>
  </si>
  <si>
    <t>El grupo de sistemas de información cuando se requiera asigna y define permisos a usuarios teniendo en cuenta lo establecido en el manual de Políticas de seguridad de la informaicon S-M-02 en su apartado creación de cuenta y acceso a los sistemas de información dejando registro en el formato S-F-39 solicitud de creación de usuario. Dicho formato se anexa a la solicitud en la mesa de servicios (GLPI).</t>
  </si>
  <si>
    <t>S-F-39 formato de solicitud de creación de usuarios</t>
  </si>
  <si>
    <t>Aplicar lo establecido en el  manual de Políticas de seguridad de la informaicon S-M-02, en lo relacionado con la gestión y administración de usuarios al sistema de información y con los perfiles y permisos del directorio activo DA.</t>
  </si>
  <si>
    <t>Grupo Sistemas de información</t>
  </si>
  <si>
    <t>Indicador 1559 Cumplimiento de políticas de seguridad de la información en la entidad</t>
  </si>
  <si>
    <t xml:space="preserve">El grupo de sistemas cuando se requiera define parámetros para restringir y controlar la asignación y uso de derechos de acceso y establecer permisos según lo establecido en el procedimiento S-PR- 12 Gestión y Administración a través de directorio activo </t>
  </si>
  <si>
    <t>Pantallazo directorio activo de usuarios registrados</t>
  </si>
  <si>
    <t>GESTION DE LA TECNOLOGIA Y LAS COMUNICACIONES</t>
  </si>
  <si>
    <t>Posibilidad de Sanciones administrativas y disciplinarias por Favorecimiento a un tercero  en la emisión de Conceptos Técnicos en la Contratación asociada al proceso</t>
  </si>
  <si>
    <t>Calidad
Seguridad y Salud en el Trabajo
Gestión Ambiental</t>
  </si>
  <si>
    <t>C-F-28 Estudio Previo de Conveniencia y Oportunidad del periodo evaluado</t>
  </si>
  <si>
    <t>Según la necesidad el líder del proceso basado en las especificaciones técnicas y las ofertas presentadas por los proveedores emite el Concepto Técnico a través del formato C-F-31 Evaluación técnica Definitiva</t>
  </si>
  <si>
    <t xml:space="preserve">
Evaluación Técnica definitiva C-F-31 del periodo evaluado
Especificaciones Técnicas
Propuestas</t>
  </si>
  <si>
    <t>Interés indebido sobre la vinculación del personal</t>
  </si>
  <si>
    <t>Posibilidad de Investigaciones de los organismos de control, disciplinarias y sanciones pecuniarias por Favorecer a un aspirante en el acceso a un cargo  sin el lleno de requisitos legales (personal de planta, CPS, empresa Temporal y Tercerizados asistenciales)</t>
  </si>
  <si>
    <t>Gestión del Talento Humano</t>
  </si>
  <si>
    <t>La profesional de nómina procede a revisar los requisitos del candidato a ser vinculado cumpliendo con lo establecido en el  Procedimiento   selección, ingreso y promoción de personal TH-PR-08, manual de funciones y formato TH-F-45 el cual se formaliza a través de firma una vez cumpla con los requisitos allí definidos.
Los profesionales delegados para la revisión de hojas de vida y cumplimiento de requisitos para la selección y vinculación del personal dan aplicación a los procedimientos "Verificación, manejo y control y custodia de historias laborales TH-PR-05" y " Procedimiento TH-PR-42 Selección de personal en misión", frente al cumplimiento de requisitos para su vinculación y cuyo resultado será la formalización del formato TH-F-45 con las respectivas firmas. 
Anexo técnico de perfil</t>
  </si>
  <si>
    <t>Relación de contratos del periodo a evaluar
TF-F-45 Verificación requisitos de hoja de vida
Hojas de vida personal vinculado
Anexo Técnico personal en mision
ECO, Formato TH-F-45 Relación de contratos con número o Radicado</t>
  </si>
  <si>
    <t>Coordinador de Talento Humano</t>
  </si>
  <si>
    <t>Según la necesidad el líder de Talento Humano basado en las especificaciones técnicas y las ofertas presentadas por los proveedores emite el Concepto Técnico a través del formato C-F-31 Evaluación técnica Definitiva</t>
  </si>
  <si>
    <t>Evaluación Técnica definitiva C-F-31
Especificaciones Técnicas
Propuestas</t>
  </si>
  <si>
    <t>GESTION DE TALENTO HUMANO</t>
  </si>
  <si>
    <t>Posibilidad de afectación del servicio, Investigaciones y sanciones disciplinarias debido al favorecimiento a terceros mediante  la emisión de la evaluación técnica final en la contratación</t>
  </si>
  <si>
    <t>Consulta Externa
Apoyo Diagnóstico y compementación Terapeutica
Laboratorio Clínico</t>
  </si>
  <si>
    <t xml:space="preserve">
Evaluación Técnica definitiva C-F-31, Propuesta Económica</t>
  </si>
  <si>
    <t>APOYO SERVICIOS DE SALUD</t>
  </si>
  <si>
    <t>No adherencia al procedimiento de selección y adquisición de medicamentos y dispositivos médicos</t>
  </si>
  <si>
    <t xml:space="preserve">Posibilidad de Investigaciones y sanciones disciplinarias o  detrimento patrimonial debido al favorecimiento a terceros mediante la adquisición de medicamentos y dispositivos médicos </t>
  </si>
  <si>
    <t>GESTIÓN FARMACÉUTICA</t>
  </si>
  <si>
    <t>El Coordinador Administrativo de farmacia por requerimiento analiza la viabilidad de la necesidad de adquisición de medicamentos y dispositivos y emite el requrimiento de acuerdo al tipo de contratación según lo establecido en el  Procedimiento selección y adquisición de medicamentos y dispositivos médicos SF-PR-23 mediante el formato C-F-28  Estudio previo de coveniencia y oportunidad y formato C-F-31 Evaluación Técnica Definitiva</t>
  </si>
  <si>
    <t>Relación contratos del periodo evaluado, C-F-28 Estudio previo de conveniencia y oportunidad, C-F-31 Evaluación Técnica Definitiva</t>
  </si>
  <si>
    <t>Gestión Quirúrgica</t>
  </si>
  <si>
    <t xml:space="preserve">
Evaluación Técnica definitiva C-F-31
Hojas de vida</t>
  </si>
  <si>
    <t>GESTION QUIRURGICA</t>
  </si>
  <si>
    <t>GESTION DE SUMINISTROS Y ACTIVOS FIJOS</t>
  </si>
  <si>
    <t>GESTION QHSE</t>
  </si>
  <si>
    <t>No. DEL RIESGO</t>
  </si>
  <si>
    <t>Tipo de Riesgo</t>
  </si>
  <si>
    <t>Impacto Inherente</t>
  </si>
  <si>
    <t>Zona de Riesgo Residual</t>
  </si>
  <si>
    <t xml:space="preserve">ESE HOSPITAL UNIVERSITARIO SAN RAFAEL TUNJA
</t>
  </si>
  <si>
    <t>Corrupción</t>
  </si>
  <si>
    <t>El líder de Biomédica emite el estudio de conveniencia de acuerdo al tipo de contratación y según la necesidad del servicio, teniendo en cuenta lo establecido en el estatuto interno de contratación por acuerdo No.11 de 2019 en donde están los requisitos diligenciando el formato C-F-28 Estudio de conveniencia y oportunidad</t>
  </si>
  <si>
    <t xml:space="preserve">El coordinador de contratación según necesidad da aplición a los descrito en el estatuto interno de contratación por acuerdo No.11 de 2019, según cada modalidad de selección contractual, frente a los requisitos allí señalados para la selección de contratistas.  </t>
  </si>
  <si>
    <t>Según necesidad El líder de mantenimiento emite el estudio previo de conveniencia y oportunidad de acuerdo al tipo de contratación y según la necesidad del servicio, teniendo en cuenta lo establecido en el estatuto interno de contratación por acuerdo No.11 de 2019 en donde están los requisitos mediante el formato C-F-28</t>
  </si>
  <si>
    <t>Según necesidad El líder del proceso emite el estudio previo de conveniencia y oportunidad de acuerdo al tipo de contratación y según la necesidad del servicio, teniendo en cuenta lo establecido en el estatuto interno de contratación por acuerdo No.11 de 2019 en donde están los requisitos mediante el formato C-F-28</t>
  </si>
  <si>
    <t>Según necesidad El líder de Talento Humano emite el estudio previo de conveniencia y oportunidad de acuerdo al tipo de contratación y según la necesidad del servicio, teniendo en cuenta lo establecido en el estatuto interno de contratación por acuerdo No.11 de 2019 en donde están los requisitos mediante el formato C-F-28</t>
  </si>
  <si>
    <t>Asesor oficina de control interno</t>
  </si>
  <si>
    <t xml:space="preserve">Posibilidad de afectación del servicio por favorecimiento a terceros en la evaluación técnica final en la contratación que conlleven a  investigaciones y sanciones disciplinarias </t>
  </si>
  <si>
    <t>Según necesidad la coordinación de apoyos de servicios de salud y Laboratorio Clinico emite el estudio previo de conveniencia y oportunidad de acuerdo al tipo de contratación y según la necesidad del servicio, teniendo en cuenta lo establecido en el estatuto interno de contratación por acuerdo No.11 de 2019 en donde están los requisitos mediante el formato C-F-28</t>
  </si>
  <si>
    <t>Según necesidad la coordinación de apoyos de servicios de salud y Laboratorio Clinico y Laboratorio Clinico, basado en los requisitos contractuales y especificaciones técnicas emite el Concepto Técnico a través del formato C-F-31 Evaluación técnica Definitiva</t>
  </si>
  <si>
    <t>Coordinación de apoyos de servicios de salud y Laboratorio Clinico</t>
  </si>
  <si>
    <t>Posibilidad de Sanciones administrativas y disciplinarias por Favorecimiento a un tercero  en la emisión de Conceptos Técnicos en la Contratación asociada a lo relacionado con Capacitación, bienestar, uniformes y otros elementos, contratación con empresas de suministro de personal.</t>
  </si>
  <si>
    <t>Según necesidad prestación de servicios emite el estudio previo de conveniencia y oportunidad de acuerdo al tipo de contratación y según la necesidad del servicio, teniendo en cuenta lo establecido en elestatuto interno de contratación por acuerdo No.11 de 2019  en donde están los requisitos mediante el formato C-F-27 (ESTUDIO PREVIO DE CONVENIENCIA Y OPORTUNIDAD - PRESTACIÓN DE SERVICIOS (JUSTIFICACIÓN TÉCNICA)</t>
  </si>
  <si>
    <t>Según la necesidad la oficina de prestaciónn de servicio, basado en los requisitos contractuales y especificaciones técnicas emite el Concepto Técnico a través del formato C-F-31 Evaluación técnica Definitiva (para entidades), TH-F-68 ENTREVISTA CONCEPTO TÉCNICO    
( SUPERVISOR) ( CPS)</t>
  </si>
  <si>
    <t>Gestion de sistema de informacion y comunicaciones</t>
  </si>
  <si>
    <t>Gestion de investigacion e innovacion</t>
  </si>
  <si>
    <t>Gestion financiera</t>
  </si>
  <si>
    <t>Gestion tecnologica</t>
  </si>
  <si>
    <t>Factor del Riesgo</t>
  </si>
  <si>
    <t xml:space="preserve"> Legal</t>
  </si>
  <si>
    <t xml:space="preserve">Uso indebido por parte del personal del HUSRT de los activos muebles y/o bienes de consumo
Falencia en el control de las cantidades a utilizar en determinadas tareas.
Fatla de sentido de pertenencia </t>
  </si>
  <si>
    <t>operacional, reputacional, legal</t>
  </si>
  <si>
    <t xml:space="preserve">Falta de integridad del funcionario.
Ausencia de normas, reglamentos politicas procesos y procedimientos.
Existencia de intereses personales.
Existencia de interes personal de la autoridad para desviar u omitir los procedimientos al interior de la entidad.
</t>
  </si>
  <si>
    <t>Desconocimiento de cambios en la normatividad.
Falta de verificación de los presupuestos normativos.</t>
  </si>
  <si>
    <t>operacional, reputacional, legal, financiero</t>
  </si>
  <si>
    <t xml:space="preserve">Exceso de poder
Intereses particulares
Falencias en la seguridad de la informacion
Fallas en la custodia de la informacion
Manejo indebido de la informacion
</t>
  </si>
  <si>
    <t xml:space="preserve">Modificacion de la informacion de manera anonima
Ciberataques hechos de manera externa que afectan la informacion de la institucion.
Vulnerabilidad del sistema información de la institucion.
Divulgación de información confidencial por parte de los empleados de forma accidental.
</t>
  </si>
  <si>
    <t>Desconocimiento de las  directrices generales de investigación del HUSRT por parte de actores interesados</t>
  </si>
  <si>
    <t xml:space="preserve">Errores de informacion o registro presupuestal.
Personal con deseo de adulterar o intencion de ocultar informacion real del hospital
Manipulacion de las cifras para demostrar resultados favorables
</t>
  </si>
  <si>
    <t xml:space="preserve">falta de valores y principios intitucionales del personal del servicio farmaceutico.
</t>
  </si>
  <si>
    <t xml:space="preserve">falta de valores y principios intitucionales del personal responsable de carro de paro.
Falta de adherencia al procedimiento TRA-PR-53 "Custodia, verificación, uso y reposición de carro de paro y reservas autorizadas.
</t>
  </si>
  <si>
    <t>Falta de pertenencia con los recursos de la institucion intereses economicos y/o personales , falta de mecanismos para controlar el uso de equipos biomedicos.</t>
  </si>
  <si>
    <t>Posibilidad de uso  indebido  de los bienes de consumo, coadyuvando a un posible detrimento patrimonial</t>
  </si>
  <si>
    <t>posibilidda de trafico de influencias conflicto de intereses  (amistas o enemistad,  persona influyente) en el proceso de vinculacion de personal</t>
  </si>
  <si>
    <t>posibilidad de autorización de retiro parcial de cesantías sin el lleno de los requisitos previstos por ley.</t>
  </si>
  <si>
    <t>Posibilidad de Uso indebido de la informacion para obtener un beneficio particular.</t>
  </si>
  <si>
    <t xml:space="preserve">Posibilidad de ataques ciberneticos que modifiquen la informacion guardada. </t>
  </si>
  <si>
    <t>Posibilidad de concentración de poder que puede generar prácticas no éticas o de conflictos de interés en investigaciones desarrolladas en el HUSRT.</t>
  </si>
  <si>
    <t xml:space="preserve">Posibilidad de presentar información contable y financiera no fidedigna por falencia en la calidad de información </t>
  </si>
  <si>
    <t>Posibilidad de afectacion economica por hurto o perida de medicamentos y dispositivos medicos con alto valor comercial en el servicio farmaceutico derivados de falta de principos y valores insitucionales del personal del servicio farmaceutico.</t>
  </si>
  <si>
    <t>Posibilidad de afectacion economica por hurto o perdida de medicamentos y dispositivos medicos  de los carro de paro derivados de falta de principos y valores insitucionales del personal responsable</t>
  </si>
  <si>
    <t xml:space="preserve">Posible uso indebido y/o perdida de equipos biomedicos por intereses  personales
</t>
  </si>
  <si>
    <t xml:space="preserve">Gestion de Suministros y activos fijos 
</t>
  </si>
  <si>
    <t>Oficina de Gestion de Talento Humano</t>
  </si>
  <si>
    <t>Gestion Financiera</t>
  </si>
  <si>
    <t>Servicio farmaceutico</t>
  </si>
  <si>
    <t xml:space="preserve">Servicio farmaceutico
Terapia Respiratoria
Enfermeria.
</t>
  </si>
  <si>
    <t xml:space="preserve">Corrupcion </t>
  </si>
  <si>
    <t>opacidad</t>
  </si>
  <si>
    <t>Fraude</t>
  </si>
  <si>
    <t>Leve</t>
  </si>
  <si>
    <t>El tecnico administrativo de almacen encargado del modulo del activos del sistema de información sevinte recibe las solicitudes de los procesos por el mismo sistema de información, genera la salida de almacen a traves del comprobante de egreso, el cual es aprobado por el coordinador de almacen quien analiza la aprobación del mismo, el comprobante se entrega a los tecnicos encargados de llevar el suministro a cada área quien hace la solicitud al encargado de bodega para solicitar el pedido, el cual es llevado a las áreas solicitantes.
Para casos especiales en que no se realice el pedido por el modulo de servinte se hace a traves del formato A-F-01 "Solicitud insumos almacen". que posterior se realiza el procedimiento anteerior</t>
  </si>
  <si>
    <t>El coordinador ambiental  realizara campañas de sensibilizacion  para la racionalizacion del uso de papel</t>
  </si>
  <si>
    <t>El coordinador de talento humano aplica  el instructivo TH-INS-01 instructivo conflicto de interes para la vinculacion de personal.</t>
  </si>
  <si>
    <t xml:space="preserve">El profesional universitario de  talento humano aplica lo dispuesto en la ley 50 de 1990 y  ley 394 de 1996 y reglamentarios   cesantias del regimen retroactivo. </t>
  </si>
  <si>
    <t>Los profesionales de talento humano a traves de la plataforma GLPI solicitan usuario para los funcionarios que ingresan, la oficina de tecnologia de la informacion da respuesta.
Cuando se retira el funcionario, los profesionales de talento humano envian la solicitud de cancelación del usuario. 
En el sistema de informacion SERVINTE cuenta con  los LOG de auditoria donde se puede evidenciar la trazabilidad de los usuarios que usan la historia clinica.
Se aplica el procedimiento S-PR-13 Gestion y administración de perfiles de usuario de sistema de información.", sin embargo se requiere actualización del mismo</t>
  </si>
  <si>
    <t>El profesional universitario de Gestion de tecnologia de la informacion y las comunicaciones  debera mantener vigente y realizar supervision de los contrato de mantenimiento de los sistemas de informacion:  
1. Servinte clinical suite.
2. Daruma salud.
3.   Orfeo.
4. Enterprise Imaging.
6.  Sicof RP
7. Comprolab 
8. Corum</t>
  </si>
  <si>
    <t>El comité de investigacion y bioetica en investigación bajo la resolución 252 de 2020, quienes realizan la aprobacion y seguimiento de las investigaciones de la ESE HUSRT.
Adicional Se aplica el manual GAC-M-02 MANUAL PARA EL INVESTIGADOR.</t>
  </si>
  <si>
    <t xml:space="preserve">
Los responsables dan aplicabilidad a la resolución 048 de 2021 politicas para mantener la sostenibilidad del sistema contable, a demas La contadora realiza verificación de la información suministrada por las dependencias MENSUALMENTE  a traves del sistema de información SERVINTE,  ademas  el revisor fiscal dictamina los estados financieros mensuales de la entidad.
</t>
  </si>
  <si>
    <t xml:space="preserve">Los regentes y tecnologos administrativos realizan los inventarios aleatorios mensualmente a traves del formato SF-F-58 "Control de inventarios y fechas de vencimiento", ademas aplica el procedimiento SF-PR-29 Realizacion de inventario fisico de medicamentos y dispositivos medicos
</t>
  </si>
  <si>
    <t>Aplicar el procedimiento TRA-PR-53 "Custodia, verificación, uso y reposición de carro de paro y reservas autorizadas.</t>
  </si>
  <si>
    <t>El tecnico biomedico identifica el daño del equipo biomedico por mala manipulacion  a traves de la rondas diarias registradas en el formato IB-F-05 "Reporte diario de fallas de equipos biomedicos" y por los llamados de las areas a traves del aplicativo HRCATCH, al identificar el daño del equipo biomedico por mala manipulacion solitan al servicio responsable el diligenciamiento del formato F-54 "Reporte de daño de dotación hospitalaria, se diagnostica el equipo, se realiza el mantenimiento correspondiente,  se programa la capacitacion en el servico y  se deja registro en acta, con el fin de evitar la ocurrencia del evento.</t>
  </si>
  <si>
    <t xml:space="preserve">Solicitud de pedido de insumos de consumo
Comprabante de egreso Servinte/ modulo de activos
</t>
  </si>
  <si>
    <t>plataforma ley 20 13 de 2019,
FORMATO  TH-F-66, THF-67,
 APLICATIVO POR LA INTEGRIDAD PUBLICA</t>
  </si>
  <si>
    <t>ley 50 de 1990 y  ley 394 de 1996 y reglamentarios   cesantias del regimen retroactivo.</t>
  </si>
  <si>
    <t xml:space="preserve">Sistema de información GLPI
Fortamato S-F-31 "Solicitud creacion de usuarios sistemas de información"
</t>
  </si>
  <si>
    <t>Contratos e informes de supervision.</t>
  </si>
  <si>
    <t>Actas de comité de investigación y  bioetica . 
GAC-F-04 Consentimiento informado comité de bioeticca
GAC-F-05 Carta de compromiso del comite de bioetica e investigación
GAC-F- 6 formato de evaluación y seguimiento de evaluaciones.
GAC-F -14 Resumen de investigación</t>
  </si>
  <si>
    <t xml:space="preserve">Resolución 048 de 2021.
Estados financieros mensuales firmados y publicados.
</t>
  </si>
  <si>
    <t>formato SF-F-58 "Control de inventrios y fechas de vencimiento"
Procedimiento SF-PR-29 Realizacion de inventario fisico de medicamentos y dispositivos medicos</t>
  </si>
  <si>
    <t>Aplicar procedimiento TRA-PR-53</t>
  </si>
  <si>
    <t>formato IB-F-05 "Reporte diario de fallas de equipos biomedicos"
 llamados de las areas a traves del aplicativo HRCATCH,
 formato F-54 "Reporte de daño de dotación hospitalaria
acta de reunión</t>
  </si>
  <si>
    <t xml:space="preserve">Documentar procedimiento entrega de insumo y suministros </t>
  </si>
  <si>
    <t>Coordinador de Almacen</t>
  </si>
  <si>
    <t>Junio de 2023</t>
  </si>
  <si>
    <t>Procedimiento actualizado</t>
  </si>
  <si>
    <t>realizar cronograma de plan de accion de la politica de conficto de interes. Actualizacion del instructivo conflicto de interes.</t>
  </si>
  <si>
    <t>Coordinador de Gestion de Talento Humano</t>
  </si>
  <si>
    <t>Abril a mayo 2023</t>
  </si>
  <si>
    <t>Actividaes ejecutadas / actividades planeadas.</t>
  </si>
  <si>
    <t>Documentar procedimiento de retiro parcial de cesantias.</t>
  </si>
  <si>
    <t>Profesional universitario de talento humano.</t>
  </si>
  <si>
    <t>30 de Abril 2023</t>
  </si>
  <si>
    <t>cuatrimestral</t>
  </si>
  <si>
    <t xml:space="preserve">Actualizar procedimiento  procedimiento S-PR-13 Gestion y administración de perfiles de usuario de sistema de información.", </t>
  </si>
  <si>
    <t>Coordinador de Tecnologias de la informacion.</t>
  </si>
  <si>
    <t>Realizar actualización del manual GAC-M-02 Manual para el investigador.</t>
  </si>
  <si>
    <t>Lider Gestion Academica e investigacion</t>
  </si>
  <si>
    <t>Agosto de 2023</t>
  </si>
  <si>
    <t>Manual actualizado.</t>
  </si>
  <si>
    <t>Se desarrollan las actividades del plan de mejora suscrito el 30 de marzo de 2023 a control interno</t>
  </si>
  <si>
    <t xml:space="preserve">Coordinador de servicio farmaceutico </t>
  </si>
  <si>
    <t>Abril a julio de 2023</t>
  </si>
  <si>
    <t>Actividades ejecutadas /actividades programas *100</t>
  </si>
  <si>
    <t>Documentar el procedimiento "daño equipo biomedico por mala manipulación"</t>
  </si>
  <si>
    <t>Coordinador de gestion de la tecnologia</t>
  </si>
  <si>
    <t>Julio de 2023</t>
  </si>
  <si>
    <t>Descripción del Riesgo Impacto</t>
  </si>
  <si>
    <t>Riesgo 6</t>
  </si>
  <si>
    <t>Riesgo 7</t>
  </si>
  <si>
    <t>Riesgo 8</t>
  </si>
  <si>
    <t>Riesgo 9</t>
  </si>
  <si>
    <t>Riesgo 10</t>
  </si>
  <si>
    <t xml:space="preserve">Pregunta:
</t>
  </si>
  <si>
    <t>Exite riesgo de contagio (considerando que es la posibilidad de pérdida o daño que puede sufrir una organizació , sea directa o indirectamente, por una acción o experiencia de una persona natural o jurídica que posee vínculos con la organización y puede ejercer influencia sobre ella, persona que se encuentra con situaciones comprometidas por delitos de lavado de activos, financiamiento del terrorismo, corrupcion, opacidad y fraude).</t>
  </si>
  <si>
    <t>1 a 3</t>
  </si>
  <si>
    <t>4 a 6</t>
  </si>
  <si>
    <t>Menor</t>
  </si>
  <si>
    <t>7 a 10</t>
  </si>
  <si>
    <t>11 a 14</t>
  </si>
  <si>
    <t>15 a 20</t>
  </si>
  <si>
    <t>Riesgo 11</t>
  </si>
  <si>
    <t>Riesgo 12</t>
  </si>
  <si>
    <t>Riesgo 13</t>
  </si>
  <si>
    <t>Riesgo 14</t>
  </si>
  <si>
    <t>Riesgo 15</t>
  </si>
  <si>
    <t>Riesgo 16</t>
  </si>
  <si>
    <t>Riesgo 17</t>
  </si>
  <si>
    <t>Riesgo 18</t>
  </si>
  <si>
    <t>Riesgo 19</t>
  </si>
  <si>
    <t>Riesgo 20</t>
  </si>
  <si>
    <t>Riesgo 21</t>
  </si>
  <si>
    <t>Riesgo 22</t>
  </si>
  <si>
    <t>Riesgo 23</t>
  </si>
  <si>
    <t>Riesgo 24</t>
  </si>
  <si>
    <t>Riesgo 25</t>
  </si>
  <si>
    <t>Riesgo 26</t>
  </si>
  <si>
    <t>Riesgo 27</t>
  </si>
  <si>
    <t>Riesgo 28</t>
  </si>
  <si>
    <t>Riesgo 29</t>
  </si>
  <si>
    <t>GESTION DE INVESTIGACION E INNOVACION</t>
  </si>
  <si>
    <t>Empleados-contratistas</t>
  </si>
  <si>
    <t>contratista-empleado-proveedor</t>
  </si>
  <si>
    <t>contraparte-cliente-proveedor-empleado</t>
  </si>
  <si>
    <t>contraparte-cliente-proveedor-empleado -contratista</t>
  </si>
  <si>
    <t>CODIGO: OADS-F-14
VERSIÓN: 5</t>
  </si>
  <si>
    <t>Gestión Farmaceutica</t>
  </si>
  <si>
    <t>Gestion de contratación</t>
  </si>
  <si>
    <t>Gestion Tecnologica</t>
  </si>
  <si>
    <t>Dorisol Pamplona Vanegas</t>
  </si>
  <si>
    <t>Se modifican lo campos del formato, se cambia la tabla de impacto teniendo en cuenta la metodologia de SICOF</t>
  </si>
  <si>
    <t xml:space="preserve">MAPA DE RIESGOS DE CORRUPCION, OPACIDAD Y FRAUDE (SICOF)  </t>
  </si>
  <si>
    <t>No. Riesgo</t>
  </si>
  <si>
    <t xml:space="preserve">Permite definir un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</si>
  <si>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Fuentes generadoras de eventos tanto internas como externas a la entidad y que pueden o no llegar a materializarse en pérdidas. Cada riesgo identificado puede ser originado por diferentes factores que pueden estar entrelazados unos con otros. Son factores de riesgo el recurso humano, los procesos, la tecnología, la infraestructura, los acontecimientos externos, entre otros.</t>
  </si>
  <si>
    <t>Subproceso al que pertenece</t>
  </si>
  <si>
    <t>Corresponde al tipo de riesgos relacionados en el manual de getion de riesgos institucional (Corrupción, Opacidad y fraude)</t>
  </si>
  <si>
    <t>Se encuentra parametrizada teniendo en cuenta la frecuencia con la cual se lleva acabo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</si>
</sst>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1"/>
      <name val="Calibri"/>
      <family val="2"/>
      <scheme val="minor"/>
    </font>
    <font>
      <sz val="11"/>
      <name val="Calibri"/>
      <family val="2"/>
      <scheme val="minor"/>
    </font>
    <font>
      <sz val="16"/>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Tahoma"/>
      <family val="2"/>
    </font>
    <font>
      <b/>
      <sz val="10"/>
      <color theme="1"/>
      <name val="Tahoma"/>
      <family val="2"/>
    </font>
    <font>
      <sz val="10"/>
      <name val="Tahoma"/>
      <family val="2"/>
    </font>
    <font>
      <sz val="24"/>
      <color theme="1"/>
      <name val="Calibri"/>
      <family val="2"/>
      <scheme val="minor"/>
    </font>
    <font>
      <sz val="22"/>
      <color theme="1"/>
      <name val="Calibri"/>
      <family val="2"/>
      <scheme val="minor"/>
    </font>
    <font>
      <sz val="18"/>
      <color theme="1"/>
      <name val="Calibri"/>
      <family val="2"/>
      <scheme val="minor"/>
    </font>
    <font>
      <b/>
      <sz val="16"/>
      <color theme="1"/>
      <name val="Calibri"/>
      <family val="2"/>
      <scheme val="minor"/>
    </font>
    <font>
      <b/>
      <sz val="8"/>
      <color theme="1"/>
      <name val="Tahoma"/>
      <family val="2"/>
    </font>
    <font>
      <sz val="9"/>
      <color theme="1"/>
      <name val="Tahoma"/>
      <family val="2"/>
    </font>
    <font>
      <sz val="10"/>
      <color rgb="FFFF0000"/>
      <name val="Tahoma"/>
      <family val="2"/>
    </font>
    <font>
      <b/>
      <sz val="10"/>
      <color rgb="FFFF0000"/>
      <name val="Tahoma"/>
      <family val="2"/>
    </font>
    <font>
      <b/>
      <sz val="8"/>
      <color rgb="FF27285D"/>
      <name val="Tahoma"/>
      <family val="2"/>
    </font>
    <font>
      <b/>
      <sz val="14"/>
      <color rgb="FF27285D"/>
      <name val="Tahoma"/>
      <family val="2"/>
    </font>
    <font>
      <b/>
      <sz val="8"/>
      <name val="Tahoma"/>
      <family val="2"/>
    </font>
    <font>
      <b/>
      <sz val="9"/>
      <color indexed="81"/>
      <name val="Tahoma"/>
      <family val="2"/>
    </font>
    <font>
      <sz val="9"/>
      <color indexed="81"/>
      <name val="Tahoma"/>
      <family val="2"/>
    </font>
    <font>
      <b/>
      <sz val="9"/>
      <color theme="1"/>
      <name val="Tahoma"/>
      <family val="2"/>
    </font>
    <font>
      <b/>
      <sz val="10"/>
      <name val="Tahoma"/>
      <family val="2"/>
    </font>
  </fonts>
  <fills count="2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66CCFF"/>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249977111117893"/>
        <bgColor indexed="64"/>
      </patternFill>
    </fill>
  </fills>
  <borders count="92">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1"/>
      </left>
      <right style="thin">
        <color theme="1"/>
      </right>
      <top/>
      <bottom/>
      <diagonal/>
    </border>
    <border>
      <left style="thin">
        <color auto="1"/>
      </left>
      <right style="thin">
        <color auto="1"/>
      </right>
      <top style="thin">
        <color auto="1"/>
      </top>
      <bottom/>
      <diagonal/>
    </border>
    <border>
      <left style="thin">
        <color auto="1"/>
      </left>
      <right style="thin">
        <color indexed="64"/>
      </right>
      <top/>
      <bottom style="thin">
        <color theme="1"/>
      </bottom>
      <diagonal/>
    </border>
    <border>
      <left style="thin">
        <color theme="1"/>
      </left>
      <right style="thin">
        <color theme="1"/>
      </right>
      <top/>
      <bottom style="thin">
        <color auto="1"/>
      </bottom>
      <diagonal/>
    </border>
    <border>
      <left style="thin">
        <color indexed="64"/>
      </left>
      <right style="thin">
        <color theme="1"/>
      </right>
      <top/>
      <bottom/>
      <diagonal/>
    </border>
    <border>
      <left style="thin">
        <color theme="1"/>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auto="1"/>
      </top>
      <bottom/>
      <diagonal/>
    </border>
    <border>
      <left style="thin">
        <color theme="1"/>
      </left>
      <right/>
      <top style="thin">
        <color theme="1"/>
      </top>
      <bottom/>
      <diagonal/>
    </border>
  </borders>
  <cellStyleXfs count="5">
    <xf numFmtId="0" fontId="0" fillId="0" borderId="0"/>
    <xf numFmtId="9" fontId="10" fillId="0" borderId="0" applyFont="0" applyFill="0" applyBorder="0" applyAlignment="0" applyProtection="0"/>
    <xf numFmtId="0" fontId="31" fillId="0" borderId="0"/>
    <xf numFmtId="0" fontId="32" fillId="0" borderId="0"/>
    <xf numFmtId="0" fontId="4" fillId="0" borderId="0"/>
  </cellStyleXfs>
  <cellXfs count="556">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2" xfId="0" applyFont="1" applyFill="1" applyBorder="1" applyAlignment="1">
      <alignment horizontal="center" vertical="center" wrapText="1" readingOrder="1"/>
    </xf>
    <xf numFmtId="0" fontId="8" fillId="0" borderId="2" xfId="0" applyFont="1" applyBorder="1" applyAlignment="1">
      <alignment horizontal="justify" vertical="center" wrapText="1" readingOrder="1"/>
    </xf>
    <xf numFmtId="9" fontId="8" fillId="0" borderId="2"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4" fillId="11" borderId="0" xfId="0" applyFont="1" applyFill="1" applyAlignment="1" applyProtection="1">
      <alignment horizontal="center" vertical="center" wrapText="1" readingOrder="1"/>
      <protection hidden="1"/>
    </xf>
    <xf numFmtId="0" fontId="14" fillId="12" borderId="0" xfId="0" applyFont="1" applyFill="1" applyAlignment="1" applyProtection="1">
      <alignment horizontal="center" wrapText="1" readingOrder="1"/>
      <protection hidden="1"/>
    </xf>
    <xf numFmtId="0" fontId="14" fillId="13" borderId="0" xfId="0" applyFont="1" applyFill="1" applyAlignment="1" applyProtection="1">
      <alignment horizontal="center" wrapText="1" readingOrder="1"/>
      <protection hidden="1"/>
    </xf>
    <xf numFmtId="0" fontId="14" fillId="5" borderId="0" xfId="0" applyFont="1" applyFill="1" applyAlignment="1" applyProtection="1">
      <alignment horizontal="center" wrapText="1" readingOrder="1"/>
      <protection hidden="1"/>
    </xf>
    <xf numFmtId="0" fontId="0" fillId="3" borderId="0" xfId="0" applyFill="1"/>
    <xf numFmtId="0" fontId="33" fillId="3" borderId="31" xfId="2" applyFont="1" applyFill="1" applyBorder="1"/>
    <xf numFmtId="0" fontId="33" fillId="3" borderId="32" xfId="2" applyFont="1" applyFill="1" applyBorder="1"/>
    <xf numFmtId="0" fontId="33" fillId="3" borderId="33" xfId="2" applyFont="1" applyFill="1" applyBorder="1"/>
    <xf numFmtId="0" fontId="12" fillId="3" borderId="0" xfId="0" applyFont="1" applyFill="1" applyAlignment="1">
      <alignment vertical="center"/>
    </xf>
    <xf numFmtId="0" fontId="4" fillId="3" borderId="0" xfId="0" applyFont="1" applyFill="1"/>
    <xf numFmtId="0" fontId="22" fillId="3" borderId="0" xfId="0" applyFont="1" applyFill="1"/>
    <xf numFmtId="0" fontId="23" fillId="3" borderId="14" xfId="0" applyFont="1" applyFill="1" applyBorder="1" applyAlignment="1">
      <alignment horizontal="center" vertical="center" wrapText="1" readingOrder="1"/>
    </xf>
    <xf numFmtId="0" fontId="24" fillId="3" borderId="14"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3" fillId="3" borderId="13" xfId="0" applyFont="1" applyFill="1" applyBorder="1" applyAlignment="1">
      <alignment horizontal="center" vertical="center" wrapText="1" readingOrder="1"/>
    </xf>
    <xf numFmtId="0" fontId="24" fillId="3" borderId="13" xfId="0" applyFont="1" applyFill="1" applyBorder="1" applyAlignment="1">
      <alignment horizontal="justify" vertical="center" wrapText="1" readingOrder="1"/>
    </xf>
    <xf numFmtId="9" fontId="23" fillId="3" borderId="18" xfId="0" applyNumberFormat="1" applyFont="1" applyFill="1" applyBorder="1" applyAlignment="1">
      <alignment horizontal="center" vertical="center" wrapText="1" readingOrder="1"/>
    </xf>
    <xf numFmtId="0" fontId="24" fillId="3" borderId="18" xfId="0" applyFont="1" applyFill="1" applyBorder="1" applyAlignment="1">
      <alignment horizontal="center" vertical="center" wrapText="1" readingOrder="1"/>
    </xf>
    <xf numFmtId="0" fontId="23" fillId="3" borderId="20" xfId="0" applyFont="1" applyFill="1" applyBorder="1" applyAlignment="1">
      <alignment horizontal="center" vertical="center" wrapText="1" readingOrder="1"/>
    </xf>
    <xf numFmtId="0" fontId="24" fillId="3" borderId="20" xfId="0" applyFont="1" applyFill="1" applyBorder="1" applyAlignment="1">
      <alignment horizontal="justify" vertical="center" wrapText="1" readingOrder="1"/>
    </xf>
    <xf numFmtId="0" fontId="24" fillId="3" borderId="21" xfId="0" applyFont="1" applyFill="1" applyBorder="1" applyAlignment="1">
      <alignment horizontal="center" vertical="center" wrapText="1" readingOrder="1"/>
    </xf>
    <xf numFmtId="0" fontId="30" fillId="3" borderId="0" xfId="0" applyFont="1" applyFill="1"/>
    <xf numFmtId="0" fontId="23" fillId="15" borderId="25" xfId="0" applyFont="1" applyFill="1" applyBorder="1" applyAlignment="1">
      <alignment horizontal="center" vertical="center" wrapText="1" readingOrder="1"/>
    </xf>
    <xf numFmtId="0" fontId="23" fillId="15" borderId="26" xfId="0" applyFont="1" applyFill="1" applyBorder="1" applyAlignment="1">
      <alignment horizontal="center" vertical="center" wrapText="1" readingOrder="1"/>
    </xf>
    <xf numFmtId="0" fontId="11" fillId="3" borderId="0" xfId="0" applyFont="1" applyFill="1"/>
    <xf numFmtId="0" fontId="3" fillId="3" borderId="0" xfId="0" applyFont="1" applyFill="1" applyAlignment="1">
      <alignment horizontal="left" vertical="center"/>
    </xf>
    <xf numFmtId="0" fontId="33" fillId="3" borderId="3" xfId="2" applyFont="1" applyFill="1" applyBorder="1"/>
    <xf numFmtId="0" fontId="38" fillId="3" borderId="0" xfId="0" applyFont="1" applyFill="1" applyAlignment="1">
      <alignment horizontal="left" vertical="center" wrapText="1"/>
    </xf>
    <xf numFmtId="0" fontId="39" fillId="3" borderId="0" xfId="0" applyFont="1" applyFill="1" applyAlignment="1">
      <alignment horizontal="left" vertical="top" wrapText="1"/>
    </xf>
    <xf numFmtId="0" fontId="33" fillId="3" borderId="0" xfId="2" applyFont="1" applyFill="1"/>
    <xf numFmtId="0" fontId="33" fillId="3" borderId="4" xfId="2" applyFont="1" applyFill="1" applyBorder="1"/>
    <xf numFmtId="0" fontId="33" fillId="3" borderId="5" xfId="2" applyFont="1" applyFill="1" applyBorder="1"/>
    <xf numFmtId="0" fontId="33" fillId="3" borderId="7" xfId="2" applyFont="1" applyFill="1" applyBorder="1"/>
    <xf numFmtId="0" fontId="33" fillId="3" borderId="6" xfId="2" applyFont="1" applyFill="1" applyBorder="1"/>
    <xf numFmtId="0" fontId="37" fillId="3" borderId="0" xfId="2" applyFont="1" applyFill="1" applyAlignment="1">
      <alignment horizontal="left" vertical="center" wrapText="1"/>
    </xf>
    <xf numFmtId="0" fontId="33" fillId="3" borderId="0" xfId="2" applyFont="1" applyFill="1" applyAlignment="1">
      <alignment horizontal="left" vertical="center" wrapText="1"/>
    </xf>
    <xf numFmtId="0" fontId="33" fillId="3" borderId="0" xfId="2" quotePrefix="1" applyFont="1" applyFill="1" applyAlignment="1">
      <alignment horizontal="left" vertical="center" wrapText="1"/>
    </xf>
    <xf numFmtId="0" fontId="35" fillId="3" borderId="3" xfId="2" quotePrefix="1" applyFont="1" applyFill="1" applyBorder="1" applyAlignment="1">
      <alignment horizontal="left" vertical="top" wrapText="1"/>
    </xf>
    <xf numFmtId="0" fontId="36" fillId="3" borderId="0" xfId="2" quotePrefix="1" applyFont="1" applyFill="1" applyAlignment="1">
      <alignment horizontal="left" vertical="top" wrapText="1"/>
    </xf>
    <xf numFmtId="0" fontId="36" fillId="3" borderId="4" xfId="2" quotePrefix="1" applyFont="1" applyFill="1" applyBorder="1" applyAlignment="1">
      <alignment horizontal="left" vertical="top" wrapText="1"/>
    </xf>
    <xf numFmtId="0" fontId="42" fillId="0" borderId="13" xfId="0" applyFont="1" applyBorder="1" applyAlignment="1" applyProtection="1">
      <alignment horizontal="justify" vertical="center" wrapText="1"/>
      <protection locked="0"/>
    </xf>
    <xf numFmtId="0" fontId="42" fillId="3" borderId="0" xfId="0" applyFont="1" applyFill="1"/>
    <xf numFmtId="0" fontId="42" fillId="0" borderId="0" xfId="0" applyFont="1"/>
    <xf numFmtId="0" fontId="43" fillId="0" borderId="0" xfId="0" applyFont="1" applyAlignment="1">
      <alignment horizontal="center" vertical="center"/>
    </xf>
    <xf numFmtId="0" fontId="42" fillId="3" borderId="0" xfId="0" applyFont="1" applyFill="1" applyAlignment="1">
      <alignment vertical="center"/>
    </xf>
    <xf numFmtId="0" fontId="42" fillId="0" borderId="0" xfId="0" applyFont="1" applyAlignment="1">
      <alignment vertical="center"/>
    </xf>
    <xf numFmtId="9" fontId="42" fillId="0" borderId="13" xfId="0" applyNumberFormat="1" applyFont="1" applyBorder="1" applyAlignment="1" applyProtection="1">
      <alignment horizontal="center" vertical="center"/>
      <protection hidden="1"/>
    </xf>
    <xf numFmtId="0" fontId="43" fillId="0" borderId="13" xfId="0" applyFont="1" applyBorder="1" applyAlignment="1" applyProtection="1">
      <alignment horizontal="center" vertical="center" textRotation="90" wrapText="1"/>
      <protection hidden="1"/>
    </xf>
    <xf numFmtId="0" fontId="42" fillId="0" borderId="0" xfId="0" applyFont="1" applyAlignment="1">
      <alignment horizontal="center" vertical="center"/>
    </xf>
    <xf numFmtId="0" fontId="42" fillId="0" borderId="0" xfId="0" applyFont="1" applyAlignment="1">
      <alignment horizontal="center"/>
    </xf>
    <xf numFmtId="0" fontId="14" fillId="11" borderId="65" xfId="0" applyFont="1" applyFill="1" applyBorder="1" applyAlignment="1" applyProtection="1">
      <alignment horizontal="center" vertical="center" wrapText="1" readingOrder="1"/>
      <protection hidden="1"/>
    </xf>
    <xf numFmtId="0" fontId="14" fillId="11" borderId="32" xfId="0" applyFont="1" applyFill="1" applyBorder="1" applyAlignment="1" applyProtection="1">
      <alignment horizontal="center" vertical="center" wrapText="1" readingOrder="1"/>
      <protection hidden="1"/>
    </xf>
    <xf numFmtId="0" fontId="14" fillId="11" borderId="66" xfId="0" applyFont="1" applyFill="1" applyBorder="1" applyAlignment="1" applyProtection="1">
      <alignment horizontal="center" vertical="center" wrapText="1" readingOrder="1"/>
      <protection hidden="1"/>
    </xf>
    <xf numFmtId="0" fontId="14" fillId="11" borderId="59" xfId="0" applyFont="1" applyFill="1" applyBorder="1" applyAlignment="1" applyProtection="1">
      <alignment horizontal="center" vertical="center" wrapText="1" readingOrder="1"/>
      <protection hidden="1"/>
    </xf>
    <xf numFmtId="0" fontId="14" fillId="11" borderId="56" xfId="0" applyFont="1" applyFill="1" applyBorder="1" applyAlignment="1" applyProtection="1">
      <alignment horizontal="center" vertical="center" wrapText="1" readingOrder="1"/>
      <protection hidden="1"/>
    </xf>
    <xf numFmtId="0" fontId="14" fillId="11" borderId="55" xfId="0" applyFont="1" applyFill="1" applyBorder="1" applyAlignment="1" applyProtection="1">
      <alignment horizontal="center" vertical="center" wrapText="1" readingOrder="1"/>
      <protection hidden="1"/>
    </xf>
    <xf numFmtId="0" fontId="14" fillId="11" borderId="49" xfId="0" applyFont="1" applyFill="1" applyBorder="1" applyAlignment="1" applyProtection="1">
      <alignment horizontal="center" vertical="center" wrapText="1" readingOrder="1"/>
      <protection hidden="1"/>
    </xf>
    <xf numFmtId="0" fontId="14" fillId="11" borderId="57" xfId="0" applyFont="1" applyFill="1" applyBorder="1" applyAlignment="1" applyProtection="1">
      <alignment horizontal="center" vertical="center" wrapText="1" readingOrder="1"/>
      <protection hidden="1"/>
    </xf>
    <xf numFmtId="0" fontId="14" fillId="12" borderId="65" xfId="0" applyFont="1" applyFill="1" applyBorder="1" applyAlignment="1" applyProtection="1">
      <alignment horizontal="center" wrapText="1" readingOrder="1"/>
      <protection hidden="1"/>
    </xf>
    <xf numFmtId="0" fontId="14" fillId="12" borderId="32" xfId="0" applyFont="1" applyFill="1" applyBorder="1" applyAlignment="1" applyProtection="1">
      <alignment horizontal="center" wrapText="1" readingOrder="1"/>
      <protection hidden="1"/>
    </xf>
    <xf numFmtId="0" fontId="14" fillId="12" borderId="66" xfId="0" applyFont="1" applyFill="1" applyBorder="1" applyAlignment="1" applyProtection="1">
      <alignment horizontal="center" wrapText="1" readingOrder="1"/>
      <protection hidden="1"/>
    </xf>
    <xf numFmtId="0" fontId="14" fillId="12" borderId="59" xfId="0" applyFont="1" applyFill="1" applyBorder="1" applyAlignment="1" applyProtection="1">
      <alignment horizontal="center" wrapText="1" readingOrder="1"/>
      <protection hidden="1"/>
    </xf>
    <xf numFmtId="0" fontId="14" fillId="12" borderId="56" xfId="0" applyFont="1" applyFill="1" applyBorder="1" applyAlignment="1" applyProtection="1">
      <alignment horizontal="center" wrapText="1" readingOrder="1"/>
      <protection hidden="1"/>
    </xf>
    <xf numFmtId="0" fontId="14" fillId="12" borderId="55" xfId="0" applyFont="1" applyFill="1" applyBorder="1" applyAlignment="1" applyProtection="1">
      <alignment horizontal="center" wrapText="1" readingOrder="1"/>
      <protection hidden="1"/>
    </xf>
    <xf numFmtId="0" fontId="14" fillId="12" borderId="49" xfId="0" applyFont="1" applyFill="1" applyBorder="1" applyAlignment="1" applyProtection="1">
      <alignment horizontal="center" wrapText="1" readingOrder="1"/>
      <protection hidden="1"/>
    </xf>
    <xf numFmtId="0" fontId="14" fillId="12" borderId="57" xfId="0" applyFont="1" applyFill="1" applyBorder="1" applyAlignment="1" applyProtection="1">
      <alignment horizontal="center" wrapText="1" readingOrder="1"/>
      <protection hidden="1"/>
    </xf>
    <xf numFmtId="0" fontId="14" fillId="13" borderId="65" xfId="0" applyFont="1" applyFill="1" applyBorder="1" applyAlignment="1" applyProtection="1">
      <alignment horizontal="center" wrapText="1" readingOrder="1"/>
      <protection hidden="1"/>
    </xf>
    <xf numFmtId="0" fontId="14" fillId="13" borderId="32" xfId="0" applyFont="1" applyFill="1" applyBorder="1" applyAlignment="1" applyProtection="1">
      <alignment horizontal="center" wrapText="1" readingOrder="1"/>
      <protection hidden="1"/>
    </xf>
    <xf numFmtId="0" fontId="14" fillId="13" borderId="66" xfId="0" applyFont="1" applyFill="1" applyBorder="1" applyAlignment="1" applyProtection="1">
      <alignment horizontal="center" wrapText="1" readingOrder="1"/>
      <protection hidden="1"/>
    </xf>
    <xf numFmtId="0" fontId="14" fillId="13" borderId="59" xfId="0" applyFont="1" applyFill="1" applyBorder="1" applyAlignment="1" applyProtection="1">
      <alignment horizontal="center" wrapText="1" readingOrder="1"/>
      <protection hidden="1"/>
    </xf>
    <xf numFmtId="0" fontId="14" fillId="13" borderId="56" xfId="0" applyFont="1" applyFill="1" applyBorder="1" applyAlignment="1" applyProtection="1">
      <alignment horizontal="center" wrapText="1" readingOrder="1"/>
      <protection hidden="1"/>
    </xf>
    <xf numFmtId="0" fontId="14" fillId="13" borderId="55" xfId="0" applyFont="1" applyFill="1" applyBorder="1" applyAlignment="1" applyProtection="1">
      <alignment horizontal="center" wrapText="1" readingOrder="1"/>
      <protection hidden="1"/>
    </xf>
    <xf numFmtId="0" fontId="14" fillId="13" borderId="49" xfId="0" applyFont="1" applyFill="1" applyBorder="1" applyAlignment="1" applyProtection="1">
      <alignment horizontal="center" wrapText="1" readingOrder="1"/>
      <protection hidden="1"/>
    </xf>
    <xf numFmtId="0" fontId="14" fillId="13" borderId="57" xfId="0" applyFont="1" applyFill="1" applyBorder="1" applyAlignment="1" applyProtection="1">
      <alignment horizontal="center" wrapText="1" readingOrder="1"/>
      <protection hidden="1"/>
    </xf>
    <xf numFmtId="0" fontId="14" fillId="5" borderId="65" xfId="0" applyFont="1" applyFill="1" applyBorder="1" applyAlignment="1" applyProtection="1">
      <alignment horizontal="center" wrapText="1" readingOrder="1"/>
      <protection hidden="1"/>
    </xf>
    <xf numFmtId="0" fontId="14" fillId="5" borderId="32" xfId="0" applyFont="1" applyFill="1" applyBorder="1" applyAlignment="1" applyProtection="1">
      <alignment horizontal="center" wrapText="1" readingOrder="1"/>
      <protection hidden="1"/>
    </xf>
    <xf numFmtId="0" fontId="14" fillId="5" borderId="66" xfId="0" applyFont="1" applyFill="1" applyBorder="1" applyAlignment="1" applyProtection="1">
      <alignment horizontal="center" wrapText="1" readingOrder="1"/>
      <protection hidden="1"/>
    </xf>
    <xf numFmtId="0" fontId="14" fillId="5" borderId="59" xfId="0" applyFont="1" applyFill="1" applyBorder="1" applyAlignment="1" applyProtection="1">
      <alignment horizontal="center" wrapText="1" readingOrder="1"/>
      <protection hidden="1"/>
    </xf>
    <xf numFmtId="0" fontId="14" fillId="5" borderId="56" xfId="0" applyFont="1" applyFill="1" applyBorder="1" applyAlignment="1" applyProtection="1">
      <alignment horizontal="center" wrapText="1" readingOrder="1"/>
      <protection hidden="1"/>
    </xf>
    <xf numFmtId="0" fontId="14" fillId="5" borderId="55" xfId="0" applyFont="1" applyFill="1" applyBorder="1" applyAlignment="1" applyProtection="1">
      <alignment horizontal="center" wrapText="1" readingOrder="1"/>
      <protection hidden="1"/>
    </xf>
    <xf numFmtId="0" fontId="14" fillId="5" borderId="49" xfId="0" applyFont="1" applyFill="1" applyBorder="1" applyAlignment="1" applyProtection="1">
      <alignment horizontal="center" wrapText="1" readingOrder="1"/>
      <protection hidden="1"/>
    </xf>
    <xf numFmtId="0" fontId="14" fillId="5" borderId="57" xfId="0" applyFont="1" applyFill="1" applyBorder="1" applyAlignment="1" applyProtection="1">
      <alignment horizontal="center" wrapText="1" readingOrder="1"/>
      <protection hidden="1"/>
    </xf>
    <xf numFmtId="0" fontId="18" fillId="13" borderId="32" xfId="0" applyFont="1" applyFill="1" applyBorder="1" applyAlignment="1" applyProtection="1">
      <alignment horizontal="center" wrapText="1" readingOrder="1"/>
      <protection hidden="1"/>
    </xf>
    <xf numFmtId="0" fontId="49" fillId="0" borderId="0" xfId="0" applyFont="1" applyAlignment="1">
      <alignment horizontal="center" vertical="center"/>
    </xf>
    <xf numFmtId="0" fontId="42" fillId="0" borderId="3" xfId="0" applyFont="1" applyBorder="1"/>
    <xf numFmtId="0" fontId="42" fillId="0" borderId="4" xfId="0" applyFont="1" applyBorder="1"/>
    <xf numFmtId="0" fontId="43" fillId="25" borderId="74" xfId="0" applyFont="1" applyFill="1" applyBorder="1" applyAlignment="1">
      <alignment horizontal="center" vertical="center" wrapText="1"/>
    </xf>
    <xf numFmtId="0" fontId="43" fillId="25" borderId="15"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51" fillId="3" borderId="0" xfId="0" applyFont="1" applyFill="1"/>
    <xf numFmtId="0" fontId="42" fillId="0" borderId="13" xfId="0" applyFont="1" applyBorder="1" applyAlignment="1">
      <alignment horizontal="center" vertical="center" wrapText="1"/>
    </xf>
    <xf numFmtId="0" fontId="42" fillId="3" borderId="20" xfId="0" applyFont="1" applyFill="1" applyBorder="1" applyAlignment="1">
      <alignment horizontal="center" vertical="center" wrapText="1"/>
    </xf>
    <xf numFmtId="0" fontId="42" fillId="0" borderId="20" xfId="0" applyFont="1" applyBorder="1" applyAlignment="1">
      <alignment horizontal="center" vertical="center" wrapText="1"/>
    </xf>
    <xf numFmtId="14" fontId="42" fillId="3" borderId="13" xfId="0" applyNumberFormat="1" applyFont="1" applyFill="1" applyBorder="1" applyAlignment="1">
      <alignment horizontal="center" vertical="center" wrapText="1"/>
    </xf>
    <xf numFmtId="0" fontId="50" fillId="0" borderId="0" xfId="0" applyFont="1"/>
    <xf numFmtId="0" fontId="50" fillId="3" borderId="13" xfId="0" applyFont="1" applyFill="1" applyBorder="1" applyAlignment="1" applyProtection="1">
      <alignment horizontal="center" vertical="center"/>
      <protection locked="0"/>
    </xf>
    <xf numFmtId="0" fontId="50" fillId="19" borderId="13" xfId="0" applyFont="1" applyFill="1" applyBorder="1" applyAlignment="1">
      <alignment horizontal="center"/>
    </xf>
    <xf numFmtId="0" fontId="42" fillId="0" borderId="13" xfId="0" applyFont="1" applyBorder="1"/>
    <xf numFmtId="0" fontId="42" fillId="0" borderId="13" xfId="0" applyFont="1" applyBorder="1" applyAlignment="1" applyProtection="1">
      <alignment horizontal="center" vertical="center"/>
      <protection hidden="1"/>
    </xf>
    <xf numFmtId="164" fontId="42" fillId="0" borderId="13" xfId="1" applyNumberFormat="1" applyFont="1" applyBorder="1" applyAlignment="1">
      <alignment horizontal="center" vertical="center"/>
    </xf>
    <xf numFmtId="0" fontId="0" fillId="0" borderId="13" xfId="0" applyBorder="1"/>
    <xf numFmtId="0" fontId="0" fillId="0" borderId="13" xfId="0" applyBorder="1" applyAlignment="1">
      <alignment vertical="top" wrapText="1"/>
    </xf>
    <xf numFmtId="0" fontId="0" fillId="0" borderId="76" xfId="0" applyBorder="1"/>
    <xf numFmtId="0" fontId="0" fillId="0" borderId="13" xfId="0" applyBorder="1" applyAlignment="1">
      <alignment horizontal="justify" vertical="top" wrapText="1"/>
    </xf>
    <xf numFmtId="0" fontId="42" fillId="0" borderId="13" xfId="0" applyFont="1" applyBorder="1" applyAlignment="1" applyProtection="1">
      <alignment horizontal="justify" vertical="top" wrapText="1"/>
      <protection locked="0"/>
    </xf>
    <xf numFmtId="0" fontId="42" fillId="0" borderId="13" xfId="0" applyFont="1" applyBorder="1" applyAlignment="1" applyProtection="1">
      <alignment horizontal="left" vertical="center" wrapText="1"/>
      <protection locked="0"/>
    </xf>
    <xf numFmtId="0" fontId="42" fillId="0" borderId="13" xfId="0" applyFont="1" applyBorder="1" applyAlignment="1" applyProtection="1">
      <alignment horizontal="left" vertical="center"/>
      <protection locked="0"/>
    </xf>
    <xf numFmtId="0" fontId="43" fillId="0" borderId="80" xfId="0" applyFont="1" applyBorder="1" applyAlignment="1" applyProtection="1">
      <alignment horizontal="center" vertical="center" textRotation="90"/>
      <protection hidden="1"/>
    </xf>
    <xf numFmtId="0" fontId="43" fillId="19" borderId="64" xfId="0" applyFont="1" applyFill="1" applyBorder="1" applyAlignment="1">
      <alignment horizontal="center" vertical="center" textRotation="90"/>
    </xf>
    <xf numFmtId="0" fontId="42" fillId="3" borderId="13" xfId="0" applyFont="1" applyFill="1" applyBorder="1" applyAlignment="1" applyProtection="1">
      <alignment horizontal="justify" vertical="center" wrapText="1"/>
      <protection locked="0"/>
    </xf>
    <xf numFmtId="14" fontId="42" fillId="0" borderId="13" xfId="0" applyNumberFormat="1" applyFont="1" applyBorder="1" applyAlignment="1" applyProtection="1">
      <alignment horizontal="left" vertical="center" wrapText="1"/>
      <protection locked="0"/>
    </xf>
    <xf numFmtId="0" fontId="42" fillId="3" borderId="0" xfId="0" applyFont="1" applyFill="1" applyAlignment="1">
      <alignment vertical="center" wrapText="1"/>
    </xf>
    <xf numFmtId="0" fontId="42" fillId="0" borderId="13" xfId="0" applyFont="1" applyBorder="1" applyAlignment="1" applyProtection="1">
      <alignment horizontal="center" vertical="center"/>
      <protection locked="0"/>
    </xf>
    <xf numFmtId="0" fontId="42" fillId="0" borderId="13" xfId="0" applyFont="1" applyBorder="1" applyAlignment="1" applyProtection="1">
      <alignment horizontal="center" vertical="center" wrapText="1"/>
      <protection locked="0"/>
    </xf>
    <xf numFmtId="0" fontId="44" fillId="0" borderId="13" xfId="0" applyFont="1" applyBorder="1" applyAlignment="1" applyProtection="1">
      <alignment horizontal="center" vertical="center" wrapText="1"/>
      <protection locked="0"/>
    </xf>
    <xf numFmtId="0" fontId="43" fillId="0" borderId="13" xfId="0" applyFont="1" applyBorder="1" applyAlignment="1" applyProtection="1">
      <alignment horizontal="center" vertical="center" wrapText="1"/>
      <protection hidden="1"/>
    </xf>
    <xf numFmtId="9" fontId="42" fillId="0" borderId="13" xfId="0" applyNumberFormat="1" applyFont="1" applyBorder="1" applyAlignment="1" applyProtection="1">
      <alignment horizontal="center" vertical="center" wrapText="1"/>
      <protection hidden="1"/>
    </xf>
    <xf numFmtId="0" fontId="43" fillId="0" borderId="13" xfId="0" applyFont="1" applyBorder="1" applyAlignment="1" applyProtection="1">
      <alignment horizontal="center" vertical="center"/>
      <protection hidden="1"/>
    </xf>
    <xf numFmtId="0" fontId="43" fillId="0" borderId="13" xfId="0" applyFont="1" applyBorder="1" applyAlignment="1" applyProtection="1">
      <alignment horizontal="center" vertical="center" textRotation="90"/>
      <protection hidden="1"/>
    </xf>
    <xf numFmtId="0" fontId="42" fillId="0" borderId="13" xfId="0" applyFont="1" applyBorder="1" applyAlignment="1" applyProtection="1">
      <alignment horizontal="center" vertical="center" textRotation="90"/>
      <protection locked="0"/>
    </xf>
    <xf numFmtId="14" fontId="42" fillId="0" borderId="13" xfId="0" applyNumberFormat="1" applyFont="1" applyBorder="1" applyAlignment="1" applyProtection="1">
      <alignment horizontal="center" vertical="center" wrapText="1"/>
      <protection locked="0"/>
    </xf>
    <xf numFmtId="14" fontId="42" fillId="0" borderId="13" xfId="0" applyNumberFormat="1" applyFont="1" applyBorder="1" applyAlignment="1" applyProtection="1">
      <alignment horizontal="center" vertical="center"/>
      <protection locked="0"/>
    </xf>
    <xf numFmtId="9" fontId="43" fillId="0" borderId="13" xfId="0" applyNumberFormat="1" applyFont="1" applyBorder="1" applyAlignment="1" applyProtection="1">
      <alignment horizontal="center" vertical="center"/>
      <protection hidden="1"/>
    </xf>
    <xf numFmtId="0" fontId="42" fillId="0" borderId="13" xfId="0" applyFont="1" applyBorder="1" applyAlignment="1">
      <alignment horizontal="center" vertical="center"/>
    </xf>
    <xf numFmtId="0" fontId="43" fillId="17" borderId="64" xfId="0" applyFont="1" applyFill="1" applyBorder="1" applyAlignment="1">
      <alignment horizontal="center" vertical="center" wrapText="1"/>
    </xf>
    <xf numFmtId="0" fontId="43" fillId="17" borderId="79" xfId="0" applyFont="1" applyFill="1" applyBorder="1" applyAlignment="1">
      <alignment horizontal="center" vertical="center" wrapText="1"/>
    </xf>
    <xf numFmtId="0" fontId="50" fillId="26" borderId="13" xfId="0" applyFont="1" applyFill="1" applyBorder="1" applyAlignment="1">
      <alignment horizontal="center"/>
    </xf>
    <xf numFmtId="0" fontId="50" fillId="0" borderId="13" xfId="0" applyFont="1" applyBorder="1" applyAlignment="1">
      <alignment horizontal="center"/>
    </xf>
    <xf numFmtId="0" fontId="42" fillId="0" borderId="14" xfId="0" applyFont="1" applyBorder="1" applyAlignment="1">
      <alignment horizontal="center" vertical="center"/>
    </xf>
    <xf numFmtId="0" fontId="44" fillId="0" borderId="80" xfId="0" applyFont="1" applyBorder="1" applyAlignment="1">
      <alignment horizontal="center" vertical="center" wrapText="1"/>
    </xf>
    <xf numFmtId="0" fontId="44" fillId="0" borderId="13" xfId="0" applyFont="1" applyBorder="1" applyAlignment="1">
      <alignment horizontal="center" vertical="center" wrapText="1"/>
    </xf>
    <xf numFmtId="0" fontId="42" fillId="0" borderId="63" xfId="0" applyFont="1" applyBorder="1" applyAlignment="1" applyProtection="1">
      <alignment horizontal="center" vertical="center" wrapText="1"/>
      <protection locked="0"/>
    </xf>
    <xf numFmtId="0" fontId="44" fillId="0" borderId="80" xfId="0" applyFont="1" applyBorder="1" applyAlignment="1" applyProtection="1">
      <alignment horizontal="center" vertical="center" wrapText="1"/>
      <protection locked="0"/>
    </xf>
    <xf numFmtId="0" fontId="44" fillId="0" borderId="13" xfId="0" applyFont="1" applyBorder="1" applyAlignment="1">
      <alignment horizontal="center" vertical="center"/>
    </xf>
    <xf numFmtId="0" fontId="44" fillId="0" borderId="80" xfId="0" applyFont="1" applyBorder="1" applyAlignment="1">
      <alignment horizontal="center" vertical="center"/>
    </xf>
    <xf numFmtId="0" fontId="42" fillId="0" borderId="13" xfId="0" applyFont="1" applyBorder="1" applyAlignment="1" applyProtection="1">
      <alignment vertical="center"/>
      <protection locked="0"/>
    </xf>
    <xf numFmtId="0" fontId="44" fillId="0" borderId="14" xfId="0" applyFont="1" applyBorder="1" applyAlignment="1">
      <alignment horizontal="center" vertical="center"/>
    </xf>
    <xf numFmtId="9" fontId="42" fillId="0" borderId="13" xfId="0" applyNumberFormat="1" applyFont="1" applyBorder="1" applyAlignment="1" applyProtection="1">
      <alignment vertical="center" wrapText="1"/>
      <protection hidden="1"/>
    </xf>
    <xf numFmtId="9" fontId="42" fillId="0" borderId="80" xfId="0" applyNumberFormat="1" applyFont="1" applyBorder="1" applyAlignment="1" applyProtection="1">
      <alignment vertical="center" wrapText="1"/>
      <protection hidden="1"/>
    </xf>
    <xf numFmtId="0" fontId="43" fillId="0" borderId="80" xfId="0" applyFont="1" applyBorder="1" applyAlignment="1" applyProtection="1">
      <alignment horizontal="center" vertical="center"/>
      <protection hidden="1"/>
    </xf>
    <xf numFmtId="0" fontId="42" fillId="0" borderId="56" xfId="0" applyFont="1" applyBorder="1" applyAlignment="1">
      <alignment horizontal="center" vertical="center"/>
    </xf>
    <xf numFmtId="0" fontId="42" fillId="0" borderId="60" xfId="0" applyFont="1" applyBorder="1" applyAlignment="1">
      <alignment horizontal="center" vertical="center"/>
    </xf>
    <xf numFmtId="0" fontId="42" fillId="0" borderId="62" xfId="0" applyFont="1" applyBorder="1" applyAlignment="1">
      <alignment horizontal="center" vertical="center"/>
    </xf>
    <xf numFmtId="0" fontId="42" fillId="3" borderId="58" xfId="0" applyFont="1" applyFill="1" applyBorder="1" applyAlignment="1" applyProtection="1">
      <alignment horizontal="justify" vertical="center" wrapText="1"/>
      <protection locked="0"/>
    </xf>
    <xf numFmtId="0" fontId="44" fillId="0" borderId="56" xfId="0" applyFont="1" applyBorder="1" applyAlignment="1">
      <alignment horizontal="center" vertical="center" wrapText="1"/>
    </xf>
    <xf numFmtId="0" fontId="42" fillId="0" borderId="58" xfId="0" applyFont="1" applyBorder="1" applyAlignment="1" applyProtection="1">
      <alignment horizontal="center" vertical="center"/>
      <protection hidden="1"/>
    </xf>
    <xf numFmtId="0" fontId="42" fillId="0" borderId="58" xfId="0" applyFont="1" applyBorder="1" applyAlignment="1" applyProtection="1">
      <alignment horizontal="center" vertical="center" textRotation="90"/>
      <protection locked="0"/>
    </xf>
    <xf numFmtId="0" fontId="44" fillId="0" borderId="80" xfId="0" applyFont="1" applyBorder="1" applyAlignment="1" applyProtection="1">
      <alignment horizontal="center" vertical="center" textRotation="90"/>
      <protection locked="0"/>
    </xf>
    <xf numFmtId="0" fontId="44" fillId="0" borderId="13" xfId="0" applyFont="1" applyBorder="1" applyAlignment="1" applyProtection="1">
      <alignment horizontal="center" vertical="center" textRotation="90"/>
      <protection locked="0"/>
    </xf>
    <xf numFmtId="0" fontId="44" fillId="0" borderId="14" xfId="0" applyFont="1" applyBorder="1" applyAlignment="1" applyProtection="1">
      <alignment horizontal="center" vertical="center" textRotation="90"/>
      <protection locked="0"/>
    </xf>
    <xf numFmtId="9" fontId="42" fillId="0" borderId="58" xfId="0" applyNumberFormat="1" applyFont="1" applyBorder="1" applyAlignment="1" applyProtection="1">
      <alignment horizontal="center" vertical="center"/>
      <protection hidden="1"/>
    </xf>
    <xf numFmtId="0" fontId="42" fillId="0" borderId="83" xfId="0" applyFont="1" applyBorder="1" applyAlignment="1" applyProtection="1">
      <alignment horizontal="center" vertical="center" textRotation="90"/>
      <protection locked="0"/>
    </xf>
    <xf numFmtId="0" fontId="42" fillId="0" borderId="84" xfId="0" applyFont="1" applyBorder="1" applyAlignment="1" applyProtection="1">
      <alignment horizontal="center" vertical="center" textRotation="90"/>
      <protection locked="0"/>
    </xf>
    <xf numFmtId="0" fontId="42" fillId="0" borderId="59" xfId="0" applyFont="1" applyBorder="1" applyAlignment="1" applyProtection="1">
      <alignment horizontal="center" vertical="center" textRotation="90"/>
      <protection locked="0"/>
    </xf>
    <xf numFmtId="0" fontId="42" fillId="0" borderId="80" xfId="0" applyFont="1" applyBorder="1" applyAlignment="1" applyProtection="1">
      <alignment horizontal="center" vertical="center" textRotation="90"/>
      <protection locked="0"/>
    </xf>
    <xf numFmtId="0" fontId="44" fillId="0" borderId="58" xfId="0" applyFont="1" applyBorder="1" applyAlignment="1">
      <alignment horizontal="center" vertical="center"/>
    </xf>
    <xf numFmtId="0" fontId="44" fillId="0" borderId="58" xfId="0" applyFont="1" applyBorder="1" applyAlignment="1" applyProtection="1">
      <alignment horizontal="center" vertical="center" textRotation="90"/>
      <protection locked="0"/>
    </xf>
    <xf numFmtId="0" fontId="42" fillId="0" borderId="58" xfId="0" applyFont="1" applyBorder="1" applyAlignment="1" applyProtection="1">
      <alignment horizontal="justify" vertical="center" wrapText="1"/>
      <protection locked="0"/>
    </xf>
    <xf numFmtId="0" fontId="42" fillId="0" borderId="80" xfId="0" applyFont="1" applyBorder="1" applyAlignment="1" applyProtection="1">
      <alignment horizontal="justify" vertical="center" wrapText="1"/>
      <protection locked="0"/>
    </xf>
    <xf numFmtId="0" fontId="44" fillId="0" borderId="58" xfId="0" applyFont="1" applyBorder="1" applyAlignment="1">
      <alignment horizontal="center" vertical="center" wrapText="1"/>
    </xf>
    <xf numFmtId="0" fontId="44" fillId="0" borderId="76" xfId="0" applyFont="1" applyBorder="1" applyAlignment="1">
      <alignment horizontal="center" vertical="center" wrapText="1"/>
    </xf>
    <xf numFmtId="0" fontId="43" fillId="0" borderId="58" xfId="0" applyFont="1" applyBorder="1" applyAlignment="1" applyProtection="1">
      <alignment horizontal="center" vertical="center"/>
      <protection hidden="1"/>
    </xf>
    <xf numFmtId="0" fontId="58" fillId="0" borderId="0" xfId="0" applyFont="1" applyAlignment="1">
      <alignment vertical="center"/>
    </xf>
    <xf numFmtId="0" fontId="50" fillId="26" borderId="17" xfId="0" applyFont="1" applyFill="1" applyBorder="1" applyAlignment="1">
      <alignment horizontal="center"/>
    </xf>
    <xf numFmtId="0" fontId="50" fillId="26" borderId="18" xfId="0" applyFont="1" applyFill="1" applyBorder="1" applyAlignment="1">
      <alignment horizontal="center"/>
    </xf>
    <xf numFmtId="0" fontId="50" fillId="0" borderId="0" xfId="0" applyFont="1" applyAlignment="1">
      <alignment horizontal="center"/>
    </xf>
    <xf numFmtId="0" fontId="50" fillId="3" borderId="17" xfId="0" applyFont="1" applyFill="1" applyBorder="1" applyAlignment="1" applyProtection="1">
      <alignment horizontal="center" vertical="center"/>
      <protection locked="0"/>
    </xf>
    <xf numFmtId="0" fontId="50" fillId="3" borderId="18" xfId="0" applyFont="1" applyFill="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50" fillId="0" borderId="18" xfId="0" applyFont="1" applyBorder="1" applyAlignment="1" applyProtection="1">
      <alignment horizontal="center" vertical="center"/>
      <protection locked="0"/>
    </xf>
    <xf numFmtId="0" fontId="50" fillId="19" borderId="19" xfId="0" applyFont="1" applyFill="1" applyBorder="1" applyAlignment="1">
      <alignment horizontal="center"/>
    </xf>
    <xf numFmtId="0" fontId="50" fillId="19" borderId="21" xfId="0" applyFont="1" applyFill="1" applyBorder="1" applyAlignment="1">
      <alignment horizontal="center"/>
    </xf>
    <xf numFmtId="0" fontId="50" fillId="26" borderId="76" xfId="0" applyFont="1" applyFill="1" applyBorder="1" applyAlignment="1">
      <alignment horizontal="center"/>
    </xf>
    <xf numFmtId="0" fontId="50" fillId="3" borderId="76" xfId="0" applyFont="1" applyFill="1" applyBorder="1" applyAlignment="1" applyProtection="1">
      <alignment horizontal="center" vertical="center"/>
      <protection locked="0"/>
    </xf>
    <xf numFmtId="0" fontId="50" fillId="0" borderId="76" xfId="0" applyFont="1" applyBorder="1" applyAlignment="1" applyProtection="1">
      <alignment horizontal="center" vertical="center"/>
      <protection locked="0"/>
    </xf>
    <xf numFmtId="0" fontId="50" fillId="19" borderId="70" xfId="0" applyFont="1" applyFill="1" applyBorder="1" applyAlignment="1">
      <alignment horizontal="center"/>
    </xf>
    <xf numFmtId="0" fontId="50" fillId="0" borderId="13" xfId="0" applyFont="1" applyBorder="1"/>
    <xf numFmtId="0" fontId="50" fillId="0" borderId="57" xfId="0" applyFont="1" applyBorder="1"/>
    <xf numFmtId="0" fontId="50" fillId="0" borderId="14" xfId="0" applyFont="1" applyBorder="1"/>
    <xf numFmtId="0" fontId="42" fillId="0" borderId="76" xfId="0" applyFont="1" applyBorder="1" applyAlignment="1" applyProtection="1">
      <alignment horizontal="center" vertical="center" wrapText="1"/>
      <protection locked="0"/>
    </xf>
    <xf numFmtId="0" fontId="42" fillId="0" borderId="61" xfId="0" applyFont="1" applyBorder="1" applyAlignment="1" applyProtection="1">
      <alignment horizontal="center" vertical="center" wrapText="1"/>
      <protection locked="0"/>
    </xf>
    <xf numFmtId="0" fontId="44" fillId="0" borderId="66" xfId="0" applyFont="1" applyBorder="1" applyAlignment="1">
      <alignment horizontal="center" vertical="center" wrapText="1"/>
    </xf>
    <xf numFmtId="9" fontId="42" fillId="0" borderId="14" xfId="0" applyNumberFormat="1" applyFont="1" applyBorder="1" applyAlignment="1" applyProtection="1">
      <alignment vertical="center" wrapText="1"/>
      <protection hidden="1"/>
    </xf>
    <xf numFmtId="9" fontId="42" fillId="0" borderId="58" xfId="0" applyNumberFormat="1" applyFont="1" applyBorder="1" applyAlignment="1" applyProtection="1">
      <alignment vertical="center" wrapText="1"/>
      <protection hidden="1"/>
    </xf>
    <xf numFmtId="0" fontId="43" fillId="9" borderId="80" xfId="0" applyFont="1" applyFill="1" applyBorder="1" applyAlignment="1" applyProtection="1">
      <alignment horizontal="center" vertical="center" textRotation="90"/>
      <protection hidden="1"/>
    </xf>
    <xf numFmtId="9" fontId="42" fillId="0" borderId="80" xfId="0" applyNumberFormat="1" applyFont="1" applyBorder="1" applyAlignment="1" applyProtection="1">
      <alignment horizontal="center" vertical="center" wrapText="1"/>
      <protection hidden="1"/>
    </xf>
    <xf numFmtId="0" fontId="42" fillId="0" borderId="0" xfId="0" applyFont="1" applyAlignment="1">
      <alignment horizontal="center" vertical="center" wrapText="1"/>
    </xf>
    <xf numFmtId="0" fontId="4" fillId="0" borderId="13" xfId="0" applyFont="1" applyBorder="1" applyAlignment="1">
      <alignment horizontal="center" vertical="center" wrapText="1"/>
    </xf>
    <xf numFmtId="0" fontId="42" fillId="0" borderId="91" xfId="0" applyFont="1" applyBorder="1" applyAlignment="1">
      <alignment horizontal="center" vertical="center"/>
    </xf>
    <xf numFmtId="0" fontId="43" fillId="0" borderId="13" xfId="0" applyFont="1" applyBorder="1" applyAlignment="1" applyProtection="1">
      <alignment horizontal="center" vertical="center" wrapText="1"/>
      <protection locked="0"/>
    </xf>
    <xf numFmtId="0" fontId="43" fillId="0" borderId="77" xfId="0" applyFont="1" applyBorder="1" applyAlignment="1" applyProtection="1">
      <alignment horizontal="center" vertical="center" wrapText="1"/>
      <protection locked="0"/>
    </xf>
    <xf numFmtId="0" fontId="43" fillId="0" borderId="77" xfId="0" applyFont="1" applyBorder="1" applyAlignment="1">
      <alignment horizontal="center" vertical="center" wrapText="1"/>
    </xf>
    <xf numFmtId="0" fontId="43" fillId="0" borderId="65" xfId="0" applyFont="1" applyBorder="1" applyAlignment="1" applyProtection="1">
      <alignment horizontal="center" vertical="center" wrapText="1"/>
      <protection locked="0"/>
    </xf>
    <xf numFmtId="0" fontId="43" fillId="0" borderId="65" xfId="0" applyFont="1" applyBorder="1" applyAlignment="1">
      <alignment horizontal="center" vertical="center" wrapText="1"/>
    </xf>
    <xf numFmtId="0" fontId="43" fillId="0" borderId="77" xfId="0" applyFont="1" applyBorder="1" applyAlignment="1">
      <alignment horizontal="center" vertical="center"/>
    </xf>
    <xf numFmtId="0" fontId="59" fillId="0" borderId="65" xfId="0" applyFont="1" applyBorder="1" applyAlignment="1">
      <alignment horizontal="center" vertical="center" wrapText="1"/>
    </xf>
    <xf numFmtId="0" fontId="59" fillId="0" borderId="55" xfId="0" applyFont="1" applyBorder="1" applyAlignment="1">
      <alignment horizontal="center" vertical="center" wrapText="1"/>
    </xf>
    <xf numFmtId="0" fontId="59" fillId="0" borderId="90" xfId="0" applyFont="1" applyBorder="1" applyAlignment="1">
      <alignment horizontal="center" vertical="center" wrapText="1"/>
    </xf>
    <xf numFmtId="0" fontId="59" fillId="0" borderId="77" xfId="0" applyFont="1" applyBorder="1" applyAlignment="1">
      <alignment horizontal="center" vertical="center" wrapText="1"/>
    </xf>
    <xf numFmtId="0" fontId="59" fillId="0" borderId="13" xfId="0" applyFont="1" applyBorder="1" applyAlignment="1">
      <alignment horizontal="center" vertical="center" wrapText="1"/>
    </xf>
    <xf numFmtId="0" fontId="42" fillId="0" borderId="0" xfId="0" applyFont="1" applyAlignment="1">
      <alignment horizontal="center" wrapText="1"/>
    </xf>
    <xf numFmtId="0" fontId="38" fillId="3" borderId="51" xfId="0" applyFont="1" applyFill="1" applyBorder="1" applyAlignment="1">
      <alignment horizontal="left" vertical="center" wrapText="1"/>
    </xf>
    <xf numFmtId="0" fontId="38" fillId="3" borderId="52" xfId="0" applyFont="1" applyFill="1" applyBorder="1" applyAlignment="1">
      <alignment horizontal="left" vertical="center" wrapText="1"/>
    </xf>
    <xf numFmtId="0" fontId="0" fillId="27" borderId="13" xfId="0" applyFill="1" applyBorder="1" applyAlignment="1">
      <alignment horizontal="center" vertical="top"/>
    </xf>
    <xf numFmtId="0" fontId="0" fillId="27" borderId="13" xfId="0" applyFill="1" applyBorder="1" applyAlignment="1">
      <alignment horizontal="center"/>
    </xf>
    <xf numFmtId="0" fontId="0" fillId="27" borderId="77" xfId="0" applyFill="1" applyBorder="1" applyAlignment="1">
      <alignment horizontal="center" vertical="top" wrapText="1"/>
    </xf>
    <xf numFmtId="0" fontId="0" fillId="27" borderId="76" xfId="0" applyFill="1" applyBorder="1" applyAlignment="1">
      <alignment horizontal="center" vertical="top" wrapText="1"/>
    </xf>
    <xf numFmtId="0" fontId="33" fillId="3" borderId="3" xfId="2" applyFont="1" applyFill="1" applyBorder="1" applyAlignment="1">
      <alignment horizontal="left" vertical="top" wrapText="1"/>
    </xf>
    <xf numFmtId="0" fontId="33" fillId="3" borderId="0" xfId="2" applyFont="1" applyFill="1" applyAlignment="1">
      <alignment horizontal="left" vertical="top" wrapText="1"/>
    </xf>
    <xf numFmtId="0" fontId="33" fillId="3" borderId="4" xfId="2" applyFont="1" applyFill="1" applyBorder="1" applyAlignment="1">
      <alignment horizontal="left" vertical="top" wrapText="1"/>
    </xf>
    <xf numFmtId="0" fontId="38" fillId="3" borderId="53" xfId="0" applyFont="1" applyFill="1" applyBorder="1" applyAlignment="1">
      <alignment horizontal="left" vertical="center" wrapText="1"/>
    </xf>
    <xf numFmtId="0" fontId="38" fillId="3" borderId="54" xfId="0" applyFont="1" applyFill="1" applyBorder="1" applyAlignment="1">
      <alignment horizontal="left" vertical="center" wrapText="1"/>
    </xf>
    <xf numFmtId="0" fontId="39" fillId="3" borderId="46" xfId="0" applyFont="1" applyFill="1" applyBorder="1" applyAlignment="1">
      <alignment horizontal="justify" vertical="center" wrapText="1"/>
    </xf>
    <xf numFmtId="0" fontId="39" fillId="3" borderId="47" xfId="0" applyFont="1" applyFill="1" applyBorder="1" applyAlignment="1">
      <alignment horizontal="justify" vertical="center" wrapText="1"/>
    </xf>
    <xf numFmtId="0" fontId="38" fillId="3" borderId="51" xfId="0" applyFont="1" applyFill="1" applyBorder="1" applyAlignment="1">
      <alignment horizontal="left" vertical="center" wrapText="1"/>
    </xf>
    <xf numFmtId="0" fontId="38" fillId="3" borderId="52" xfId="0" applyFont="1" applyFill="1" applyBorder="1" applyAlignment="1">
      <alignment horizontal="left" vertical="center" wrapText="1"/>
    </xf>
    <xf numFmtId="0" fontId="39" fillId="3" borderId="44" xfId="2" applyFont="1" applyFill="1" applyBorder="1" applyAlignment="1">
      <alignment horizontal="justify" vertical="center" wrapText="1"/>
    </xf>
    <xf numFmtId="0" fontId="39" fillId="3" borderId="45" xfId="2" applyFont="1" applyFill="1" applyBorder="1" applyAlignment="1">
      <alignment horizontal="justify" vertical="center" wrapText="1"/>
    </xf>
    <xf numFmtId="0" fontId="39" fillId="3" borderId="44" xfId="2" applyFont="1" applyFill="1" applyBorder="1" applyAlignment="1">
      <alignment horizontal="left" vertical="center" wrapText="1"/>
    </xf>
    <xf numFmtId="0" fontId="39" fillId="3" borderId="45" xfId="2" applyFont="1" applyFill="1" applyBorder="1" applyAlignment="1">
      <alignment horizontal="left" vertical="center" wrapText="1"/>
    </xf>
    <xf numFmtId="0" fontId="38" fillId="3" borderId="42" xfId="0" applyFont="1" applyFill="1" applyBorder="1" applyAlignment="1">
      <alignment horizontal="left" vertical="center" wrapText="1"/>
    </xf>
    <xf numFmtId="0" fontId="38" fillId="3" borderId="43" xfId="0" applyFont="1" applyFill="1" applyBorder="1" applyAlignment="1">
      <alignment horizontal="left" vertical="center" wrapText="1"/>
    </xf>
    <xf numFmtId="0" fontId="38" fillId="3" borderId="38" xfId="3" applyFont="1" applyFill="1" applyBorder="1" applyAlignment="1">
      <alignment horizontal="left" vertical="top" wrapText="1" readingOrder="1"/>
    </xf>
    <xf numFmtId="0" fontId="38" fillId="3" borderId="39" xfId="3" applyFont="1" applyFill="1" applyBorder="1" applyAlignment="1">
      <alignment horizontal="left" vertical="top" wrapText="1" readingOrder="1"/>
    </xf>
    <xf numFmtId="0" fontId="39" fillId="3" borderId="40" xfId="2" applyFont="1" applyFill="1" applyBorder="1" applyAlignment="1">
      <alignment horizontal="justify" vertical="center" wrapText="1"/>
    </xf>
    <xf numFmtId="0" fontId="39" fillId="3" borderId="41" xfId="2" applyFont="1" applyFill="1" applyBorder="1" applyAlignment="1">
      <alignment horizontal="justify" vertical="center" wrapText="1"/>
    </xf>
    <xf numFmtId="0" fontId="38" fillId="3" borderId="51" xfId="3" applyFont="1" applyFill="1" applyBorder="1" applyAlignment="1">
      <alignment horizontal="left" vertical="top" wrapText="1" readingOrder="1"/>
    </xf>
    <xf numFmtId="0" fontId="38" fillId="3" borderId="52" xfId="3" applyFont="1" applyFill="1" applyBorder="1" applyAlignment="1">
      <alignment horizontal="left" vertical="top" wrapText="1" readingOrder="1"/>
    </xf>
    <xf numFmtId="0" fontId="34" fillId="14" borderId="28" xfId="2" applyFont="1" applyFill="1" applyBorder="1" applyAlignment="1">
      <alignment horizontal="center" vertical="center" wrapText="1"/>
    </xf>
    <xf numFmtId="0" fontId="34" fillId="14" borderId="29" xfId="2" applyFont="1" applyFill="1" applyBorder="1" applyAlignment="1">
      <alignment horizontal="center" vertical="center" wrapText="1"/>
    </xf>
    <xf numFmtId="0" fontId="34" fillId="14" borderId="30" xfId="2" applyFont="1" applyFill="1" applyBorder="1" applyAlignment="1">
      <alignment horizontal="center" vertical="center" wrapText="1"/>
    </xf>
    <xf numFmtId="0" fontId="33" fillId="0" borderId="3" xfId="2" quotePrefix="1" applyFont="1" applyBorder="1" applyAlignment="1">
      <alignment horizontal="left" vertical="center" wrapText="1"/>
    </xf>
    <xf numFmtId="0" fontId="33" fillId="0" borderId="0" xfId="2" quotePrefix="1" applyFont="1" applyAlignment="1">
      <alignment horizontal="left" vertical="center" wrapText="1"/>
    </xf>
    <xf numFmtId="0" fontId="33" fillId="0" borderId="4" xfId="2" quotePrefix="1" applyFont="1" applyBorder="1" applyAlignment="1">
      <alignment horizontal="left" vertical="center" wrapText="1"/>
    </xf>
    <xf numFmtId="0" fontId="33" fillId="0" borderId="48" xfId="2" quotePrefix="1" applyFont="1" applyBorder="1" applyAlignment="1">
      <alignment horizontal="left" vertical="center" wrapText="1"/>
    </xf>
    <xf numFmtId="0" fontId="33" fillId="0" borderId="49" xfId="2" quotePrefix="1" applyFont="1" applyBorder="1" applyAlignment="1">
      <alignment horizontal="left" vertical="center" wrapText="1"/>
    </xf>
    <xf numFmtId="0" fontId="33" fillId="0" borderId="50" xfId="2" quotePrefix="1" applyFont="1" applyBorder="1" applyAlignment="1">
      <alignment horizontal="left" vertical="center" wrapText="1"/>
    </xf>
    <xf numFmtId="0" fontId="35" fillId="3" borderId="31" xfId="2" quotePrefix="1" applyFont="1" applyFill="1" applyBorder="1" applyAlignment="1">
      <alignment horizontal="left" vertical="top" wrapText="1"/>
    </xf>
    <xf numFmtId="0" fontId="36" fillId="3" borderId="32" xfId="2" quotePrefix="1" applyFont="1" applyFill="1" applyBorder="1" applyAlignment="1">
      <alignment horizontal="left" vertical="top" wrapText="1"/>
    </xf>
    <xf numFmtId="0" fontId="36" fillId="3" borderId="33" xfId="2" quotePrefix="1" applyFont="1" applyFill="1" applyBorder="1" applyAlignment="1">
      <alignment horizontal="left" vertical="top" wrapText="1"/>
    </xf>
    <xf numFmtId="0" fontId="1" fillId="3" borderId="48" xfId="2" quotePrefix="1" applyFont="1" applyFill="1" applyBorder="1" applyAlignment="1">
      <alignment horizontal="justify" vertical="center" wrapText="1"/>
    </xf>
    <xf numFmtId="0" fontId="1" fillId="3" borderId="49" xfId="2" quotePrefix="1" applyFont="1" applyFill="1" applyBorder="1" applyAlignment="1">
      <alignment horizontal="justify" vertical="center" wrapText="1"/>
    </xf>
    <xf numFmtId="0" fontId="1" fillId="3" borderId="50" xfId="2" quotePrefix="1" applyFont="1" applyFill="1" applyBorder="1" applyAlignment="1">
      <alignment horizontal="justify" vertical="center" wrapText="1"/>
    </xf>
    <xf numFmtId="0" fontId="33" fillId="0" borderId="3" xfId="2" quotePrefix="1" applyFont="1" applyBorder="1" applyAlignment="1">
      <alignment horizontal="left" vertical="top" wrapText="1"/>
    </xf>
    <xf numFmtId="0" fontId="33" fillId="0" borderId="0" xfId="2" quotePrefix="1" applyFont="1" applyAlignment="1">
      <alignment horizontal="left" vertical="top" wrapText="1"/>
    </xf>
    <xf numFmtId="0" fontId="33" fillId="0" borderId="4" xfId="2" quotePrefix="1" applyFont="1" applyBorder="1" applyAlignment="1">
      <alignment horizontal="left" vertical="top" wrapText="1"/>
    </xf>
    <xf numFmtId="0" fontId="38" fillId="14" borderId="34" xfId="3" applyFont="1" applyFill="1" applyBorder="1" applyAlignment="1">
      <alignment horizontal="center" vertical="center" wrapText="1"/>
    </xf>
    <xf numFmtId="0" fontId="38" fillId="14" borderId="35" xfId="3" applyFont="1" applyFill="1" applyBorder="1" applyAlignment="1">
      <alignment horizontal="center" vertical="center" wrapText="1"/>
    </xf>
    <xf numFmtId="0" fontId="38" fillId="14" borderId="36" xfId="2" applyFont="1" applyFill="1" applyBorder="1" applyAlignment="1">
      <alignment horizontal="center" vertical="center"/>
    </xf>
    <xf numFmtId="0" fontId="38" fillId="14" borderId="37" xfId="2" applyFont="1" applyFill="1" applyBorder="1" applyAlignment="1">
      <alignment horizontal="center" vertical="center"/>
    </xf>
    <xf numFmtId="14" fontId="42" fillId="0" borderId="80" xfId="0" applyNumberFormat="1" applyFont="1" applyBorder="1" applyAlignment="1" applyProtection="1">
      <alignment horizontal="center" vertical="center"/>
      <protection locked="0"/>
    </xf>
    <xf numFmtId="14" fontId="42" fillId="0" borderId="58" xfId="0" applyNumberFormat="1" applyFont="1" applyBorder="1" applyAlignment="1" applyProtection="1">
      <alignment horizontal="center" vertical="center"/>
      <protection locked="0"/>
    </xf>
    <xf numFmtId="14" fontId="42" fillId="0" borderId="14" xfId="0" applyNumberFormat="1" applyFont="1" applyBorder="1" applyAlignment="1" applyProtection="1">
      <alignment horizontal="center" vertical="center"/>
      <protection locked="0"/>
    </xf>
    <xf numFmtId="0" fontId="43" fillId="0" borderId="80" xfId="0" applyFont="1" applyBorder="1" applyAlignment="1" applyProtection="1">
      <alignment horizontal="center" vertical="center" textRotation="90"/>
      <protection hidden="1"/>
    </xf>
    <xf numFmtId="0" fontId="43" fillId="0" borderId="14" xfId="0" applyFont="1" applyBorder="1" applyAlignment="1" applyProtection="1">
      <alignment horizontal="center" vertical="center" textRotation="90"/>
      <protection hidden="1"/>
    </xf>
    <xf numFmtId="0" fontId="43" fillId="21" borderId="64" xfId="0" applyFont="1" applyFill="1" applyBorder="1" applyAlignment="1">
      <alignment horizontal="center" vertical="center" wrapText="1"/>
    </xf>
    <xf numFmtId="0" fontId="43" fillId="21" borderId="82" xfId="0" applyFont="1" applyFill="1" applyBorder="1" applyAlignment="1">
      <alignment horizontal="center" vertical="center" wrapText="1"/>
    </xf>
    <xf numFmtId="0" fontId="42" fillId="0" borderId="80" xfId="0" applyFont="1" applyBorder="1" applyAlignment="1" applyProtection="1">
      <alignment horizontal="center" vertical="center" wrapText="1"/>
      <protection locked="0"/>
    </xf>
    <xf numFmtId="0" fontId="42" fillId="0" borderId="58" xfId="0" applyFont="1" applyBorder="1" applyAlignment="1" applyProtection="1">
      <alignment horizontal="center" vertical="center" wrapText="1"/>
      <protection locked="0"/>
    </xf>
    <xf numFmtId="0" fontId="42" fillId="0" borderId="14" xfId="0" applyFont="1" applyBorder="1" applyAlignment="1" applyProtection="1">
      <alignment horizontal="center" vertical="center" wrapText="1"/>
      <protection locked="0"/>
    </xf>
    <xf numFmtId="0" fontId="42" fillId="0" borderId="80" xfId="0" applyFont="1" applyBorder="1" applyAlignment="1" applyProtection="1">
      <alignment horizontal="center" vertical="center"/>
      <protection locked="0"/>
    </xf>
    <xf numFmtId="0" fontId="42" fillId="0" borderId="58" xfId="0" applyFont="1" applyBorder="1" applyAlignment="1" applyProtection="1">
      <alignment horizontal="center" vertical="center"/>
      <protection locked="0"/>
    </xf>
    <xf numFmtId="0" fontId="42" fillId="0" borderId="14" xfId="0" applyFont="1" applyBorder="1" applyAlignment="1" applyProtection="1">
      <alignment horizontal="center" vertical="center"/>
      <protection locked="0"/>
    </xf>
    <xf numFmtId="0" fontId="43" fillId="15" borderId="64" xfId="0" applyFont="1" applyFill="1" applyBorder="1" applyAlignment="1">
      <alignment horizontal="center" vertical="center" wrapText="1"/>
    </xf>
    <xf numFmtId="0" fontId="43" fillId="15" borderId="82" xfId="0" applyFont="1" applyFill="1" applyBorder="1" applyAlignment="1">
      <alignment horizontal="center" vertical="center" wrapText="1"/>
    </xf>
    <xf numFmtId="0" fontId="43" fillId="21" borderId="64" xfId="0" applyFont="1" applyFill="1" applyBorder="1" applyAlignment="1">
      <alignment horizontal="center" vertical="center"/>
    </xf>
    <xf numFmtId="0" fontId="43" fillId="21" borderId="82" xfId="0" applyFont="1" applyFill="1" applyBorder="1" applyAlignment="1">
      <alignment horizontal="center" vertical="center"/>
    </xf>
    <xf numFmtId="0" fontId="43" fillId="20" borderId="64" xfId="0" applyFont="1" applyFill="1" applyBorder="1" applyAlignment="1">
      <alignment horizontal="center" vertical="center" textRotation="90" wrapText="1"/>
    </xf>
    <xf numFmtId="0" fontId="43" fillId="20" borderId="82" xfId="0" applyFont="1" applyFill="1" applyBorder="1" applyAlignment="1">
      <alignment horizontal="center" vertical="center" textRotation="90" wrapText="1"/>
    </xf>
    <xf numFmtId="0" fontId="42" fillId="0" borderId="80" xfId="0" applyFont="1" applyBorder="1" applyAlignment="1" applyProtection="1">
      <alignment horizontal="center" vertical="center" textRotation="90"/>
      <protection locked="0"/>
    </xf>
    <xf numFmtId="0" fontId="42" fillId="0" borderId="58" xfId="0" applyFont="1" applyBorder="1" applyAlignment="1" applyProtection="1">
      <alignment horizontal="center" vertical="center" textRotation="90"/>
      <protection locked="0"/>
    </xf>
    <xf numFmtId="0" fontId="42" fillId="0" borderId="14" xfId="0" applyFont="1" applyBorder="1" applyAlignment="1" applyProtection="1">
      <alignment horizontal="center" vertical="center" textRotation="90"/>
      <protection locked="0"/>
    </xf>
    <xf numFmtId="14" fontId="42" fillId="0" borderId="80" xfId="0" applyNumberFormat="1" applyFont="1" applyBorder="1" applyAlignment="1" applyProtection="1">
      <alignment horizontal="center" vertical="center" wrapText="1"/>
      <protection locked="0"/>
    </xf>
    <xf numFmtId="14" fontId="42" fillId="0" borderId="58" xfId="0" applyNumberFormat="1" applyFont="1" applyBorder="1" applyAlignment="1" applyProtection="1">
      <alignment horizontal="center" vertical="center" wrapText="1"/>
      <protection locked="0"/>
    </xf>
    <xf numFmtId="14" fontId="42" fillId="0" borderId="14" xfId="0" applyNumberFormat="1" applyFont="1" applyBorder="1" applyAlignment="1" applyProtection="1">
      <alignment horizontal="center" vertical="center" wrapText="1"/>
      <protection locked="0"/>
    </xf>
    <xf numFmtId="0" fontId="44" fillId="0" borderId="80" xfId="0" applyFont="1" applyBorder="1" applyAlignment="1" applyProtection="1">
      <alignment horizontal="center" vertical="center" wrapText="1"/>
      <protection locked="0"/>
    </xf>
    <xf numFmtId="0" fontId="44" fillId="0" borderId="14" xfId="0" applyFont="1" applyBorder="1" applyAlignment="1" applyProtection="1">
      <alignment horizontal="center" vertical="center" wrapText="1"/>
      <protection locked="0"/>
    </xf>
    <xf numFmtId="0" fontId="42" fillId="0" borderId="13" xfId="0" applyFont="1" applyBorder="1" applyAlignment="1">
      <alignment horizontal="center" vertical="center"/>
    </xf>
    <xf numFmtId="0" fontId="42" fillId="0" borderId="56" xfId="0" applyFont="1" applyBorder="1" applyAlignment="1">
      <alignment horizontal="center" vertical="center"/>
    </xf>
    <xf numFmtId="0" fontId="42" fillId="0" borderId="58" xfId="0" applyFont="1" applyBorder="1" applyAlignment="1">
      <alignment horizontal="center" vertical="center"/>
    </xf>
    <xf numFmtId="0" fontId="44" fillId="0" borderId="58" xfId="0" applyFont="1" applyBorder="1" applyAlignment="1" applyProtection="1">
      <alignment horizontal="center" vertical="center" wrapText="1"/>
      <protection locked="0"/>
    </xf>
    <xf numFmtId="0" fontId="42" fillId="0" borderId="13" xfId="0" applyFont="1" applyBorder="1" applyAlignment="1">
      <alignment horizontal="center" vertical="center" wrapText="1"/>
    </xf>
    <xf numFmtId="0" fontId="42" fillId="0" borderId="14" xfId="0" applyFont="1" applyBorder="1" applyAlignment="1">
      <alignment horizontal="center" vertical="center"/>
    </xf>
    <xf numFmtId="0" fontId="42" fillId="0" borderId="66" xfId="0" applyFont="1" applyBorder="1" applyAlignment="1" applyProtection="1">
      <alignment horizontal="center" vertical="center" wrapText="1"/>
      <protection locked="0"/>
    </xf>
    <xf numFmtId="0" fontId="43" fillId="2" borderId="87" xfId="0" applyFont="1" applyFill="1" applyBorder="1" applyAlignment="1">
      <alignment horizontal="center" vertical="center"/>
    </xf>
    <xf numFmtId="0" fontId="43" fillId="2" borderId="88" xfId="0" applyFont="1" applyFill="1" applyBorder="1" applyAlignment="1">
      <alignment horizontal="center" vertical="center"/>
    </xf>
    <xf numFmtId="0" fontId="43" fillId="2" borderId="89" xfId="0" applyFont="1" applyFill="1" applyBorder="1" applyAlignment="1">
      <alignment horizontal="center" vertical="center"/>
    </xf>
    <xf numFmtId="9" fontId="43" fillId="0" borderId="80" xfId="0" applyNumberFormat="1" applyFont="1" applyBorder="1" applyAlignment="1" applyProtection="1">
      <alignment horizontal="center" vertical="center"/>
      <protection hidden="1"/>
    </xf>
    <xf numFmtId="9" fontId="43" fillId="0" borderId="58" xfId="0" applyNumberFormat="1" applyFont="1" applyBorder="1" applyAlignment="1" applyProtection="1">
      <alignment horizontal="center" vertical="center"/>
      <protection hidden="1"/>
    </xf>
    <xf numFmtId="9" fontId="43" fillId="0" borderId="14" xfId="0" applyNumberFormat="1" applyFont="1" applyBorder="1" applyAlignment="1" applyProtection="1">
      <alignment horizontal="center" vertical="center"/>
      <protection hidden="1"/>
    </xf>
    <xf numFmtId="0" fontId="43" fillId="18" borderId="87" xfId="0" applyFont="1" applyFill="1" applyBorder="1" applyAlignment="1">
      <alignment horizontal="center" vertical="center"/>
    </xf>
    <xf numFmtId="0" fontId="43" fillId="18" borderId="88" xfId="0" applyFont="1" applyFill="1" applyBorder="1" applyAlignment="1">
      <alignment horizontal="center" vertical="center"/>
    </xf>
    <xf numFmtId="0" fontId="43" fillId="18" borderId="88" xfId="0" applyFont="1" applyFill="1" applyBorder="1" applyAlignment="1">
      <alignment horizontal="center" vertical="center" wrapText="1"/>
    </xf>
    <xf numFmtId="0" fontId="43" fillId="18" borderId="89" xfId="0" applyFont="1" applyFill="1" applyBorder="1" applyAlignment="1">
      <alignment horizontal="center" vertical="center"/>
    </xf>
    <xf numFmtId="0" fontId="43" fillId="22" borderId="87" xfId="0" applyFont="1" applyFill="1" applyBorder="1" applyAlignment="1">
      <alignment horizontal="center" vertical="center"/>
    </xf>
    <xf numFmtId="0" fontId="43" fillId="22" borderId="88" xfId="0" applyFont="1" applyFill="1" applyBorder="1" applyAlignment="1">
      <alignment horizontal="center" vertical="center"/>
    </xf>
    <xf numFmtId="0" fontId="43" fillId="22" borderId="89" xfId="0" applyFont="1" applyFill="1" applyBorder="1" applyAlignment="1">
      <alignment horizontal="center" vertical="center"/>
    </xf>
    <xf numFmtId="0" fontId="43" fillId="23" borderId="87" xfId="0" applyFont="1" applyFill="1" applyBorder="1" applyAlignment="1">
      <alignment horizontal="center" vertical="center"/>
    </xf>
    <xf numFmtId="0" fontId="43" fillId="23" borderId="88" xfId="0" applyFont="1" applyFill="1" applyBorder="1" applyAlignment="1">
      <alignment horizontal="center" vertical="center"/>
    </xf>
    <xf numFmtId="0" fontId="43" fillId="23" borderId="89" xfId="0" applyFont="1" applyFill="1" applyBorder="1" applyAlignment="1">
      <alignment horizontal="center" vertical="center"/>
    </xf>
    <xf numFmtId="0" fontId="43" fillId="0" borderId="80" xfId="0" applyFont="1" applyBorder="1" applyAlignment="1" applyProtection="1">
      <alignment horizontal="center" vertical="center" wrapText="1"/>
      <protection hidden="1"/>
    </xf>
    <xf numFmtId="0" fontId="43" fillId="0" borderId="58" xfId="0" applyFont="1" applyBorder="1" applyAlignment="1" applyProtection="1">
      <alignment horizontal="center" vertical="center" wrapText="1"/>
      <protection hidden="1"/>
    </xf>
    <xf numFmtId="0" fontId="43" fillId="0" borderId="14" xfId="0" applyFont="1" applyBorder="1" applyAlignment="1" applyProtection="1">
      <alignment horizontal="center" vertical="center" wrapText="1"/>
      <protection hidden="1"/>
    </xf>
    <xf numFmtId="9" fontId="42" fillId="0" borderId="80" xfId="0" applyNumberFormat="1" applyFont="1" applyBorder="1" applyAlignment="1" applyProtection="1">
      <alignment horizontal="center" vertical="center" wrapText="1"/>
      <protection hidden="1"/>
    </xf>
    <xf numFmtId="9" fontId="42" fillId="0" borderId="58" xfId="0" applyNumberFormat="1" applyFont="1" applyBorder="1" applyAlignment="1" applyProtection="1">
      <alignment horizontal="center" vertical="center" wrapText="1"/>
      <protection hidden="1"/>
    </xf>
    <xf numFmtId="9" fontId="42" fillId="0" borderId="14" xfId="0" applyNumberFormat="1" applyFont="1" applyBorder="1" applyAlignment="1" applyProtection="1">
      <alignment horizontal="center" vertical="center" wrapText="1"/>
      <protection hidden="1"/>
    </xf>
    <xf numFmtId="0" fontId="43" fillId="19" borderId="64" xfId="0" applyFont="1" applyFill="1" applyBorder="1" applyAlignment="1">
      <alignment horizontal="center" vertical="center" wrapText="1"/>
    </xf>
    <xf numFmtId="0" fontId="43" fillId="19" borderId="82" xfId="0" applyFont="1" applyFill="1" applyBorder="1" applyAlignment="1">
      <alignment horizontal="center" vertical="center" wrapText="1"/>
    </xf>
    <xf numFmtId="0" fontId="43" fillId="0" borderId="80" xfId="0" applyFont="1" applyBorder="1" applyAlignment="1" applyProtection="1">
      <alignment horizontal="center" vertical="center"/>
      <protection hidden="1"/>
    </xf>
    <xf numFmtId="0" fontId="43" fillId="0" borderId="14" xfId="0" applyFont="1" applyBorder="1" applyAlignment="1" applyProtection="1">
      <alignment horizontal="center" vertical="center"/>
      <protection hidden="1"/>
    </xf>
    <xf numFmtId="0" fontId="42" fillId="0" borderId="65" xfId="0" applyFont="1" applyBorder="1" applyAlignment="1">
      <alignment horizontal="center" vertical="center"/>
    </xf>
    <xf numFmtId="0" fontId="42" fillId="0" borderId="81" xfId="0" applyFont="1" applyBorder="1" applyAlignment="1">
      <alignment horizontal="center" vertical="center"/>
    </xf>
    <xf numFmtId="0" fontId="43" fillId="17" borderId="64" xfId="0" applyFont="1" applyFill="1" applyBorder="1" applyAlignment="1">
      <alignment horizontal="center" vertical="center" textRotation="90"/>
    </xf>
    <xf numFmtId="0" fontId="43" fillId="17" borderId="82" xfId="0" applyFont="1" applyFill="1" applyBorder="1" applyAlignment="1">
      <alignment horizontal="center" vertical="center" textRotation="90"/>
    </xf>
    <xf numFmtId="0" fontId="43" fillId="17" borderId="64" xfId="0" applyFont="1" applyFill="1" applyBorder="1" applyAlignment="1">
      <alignment horizontal="center" vertical="center" wrapText="1"/>
    </xf>
    <xf numFmtId="0" fontId="43" fillId="17" borderId="82" xfId="0" applyFont="1" applyFill="1" applyBorder="1" applyAlignment="1">
      <alignment horizontal="center" vertical="center" wrapText="1"/>
    </xf>
    <xf numFmtId="0" fontId="43" fillId="17" borderId="64" xfId="0" applyFont="1" applyFill="1" applyBorder="1" applyAlignment="1">
      <alignment horizontal="center" vertical="center"/>
    </xf>
    <xf numFmtId="0" fontId="43" fillId="17" borderId="82" xfId="0" applyFont="1" applyFill="1" applyBorder="1" applyAlignment="1">
      <alignment horizontal="center" vertical="center"/>
    </xf>
    <xf numFmtId="0" fontId="43" fillId="16" borderId="87" xfId="0" applyFont="1" applyFill="1" applyBorder="1" applyAlignment="1">
      <alignment horizontal="center" vertical="center"/>
    </xf>
    <xf numFmtId="0" fontId="43" fillId="16" borderId="88" xfId="0" applyFont="1" applyFill="1" applyBorder="1" applyAlignment="1">
      <alignment horizontal="center" vertical="center"/>
    </xf>
    <xf numFmtId="0" fontId="43" fillId="16" borderId="89" xfId="0" applyFont="1" applyFill="1" applyBorder="1" applyAlignment="1">
      <alignment horizontal="center" vertical="center"/>
    </xf>
    <xf numFmtId="0" fontId="43" fillId="19" borderId="63" xfId="0" applyFont="1" applyFill="1" applyBorder="1" applyAlignment="1">
      <alignment horizontal="center" vertical="center" wrapText="1"/>
    </xf>
    <xf numFmtId="0" fontId="43" fillId="19" borderId="62" xfId="0" applyFont="1" applyFill="1" applyBorder="1" applyAlignment="1">
      <alignment horizontal="center" vertical="center" wrapText="1"/>
    </xf>
    <xf numFmtId="0" fontId="43" fillId="19" borderId="61" xfId="0" applyFont="1" applyFill="1" applyBorder="1" applyAlignment="1">
      <alignment horizontal="center" vertical="center" wrapText="1"/>
    </xf>
    <xf numFmtId="0" fontId="43" fillId="15" borderId="79" xfId="0" applyFont="1" applyFill="1" applyBorder="1" applyAlignment="1">
      <alignment horizontal="center" vertical="center" wrapText="1"/>
    </xf>
    <xf numFmtId="0" fontId="43" fillId="19" borderId="64" xfId="0" applyFont="1" applyFill="1" applyBorder="1" applyAlignment="1">
      <alignment horizontal="center" vertical="center" textRotation="90" wrapText="1"/>
    </xf>
    <xf numFmtId="0" fontId="43" fillId="19" borderId="82" xfId="0" applyFont="1" applyFill="1" applyBorder="1" applyAlignment="1">
      <alignment horizontal="center" vertical="center" textRotation="90" wrapText="1"/>
    </xf>
    <xf numFmtId="0" fontId="43" fillId="0" borderId="64" xfId="0" applyFont="1" applyBorder="1" applyAlignment="1">
      <alignment horizontal="center" vertical="center" textRotation="90" wrapText="1"/>
    </xf>
    <xf numFmtId="0" fontId="43" fillId="0" borderId="82" xfId="0" applyFont="1" applyBorder="1" applyAlignment="1">
      <alignment horizontal="center" vertical="center" textRotation="90" wrapText="1"/>
    </xf>
    <xf numFmtId="0" fontId="43" fillId="0" borderId="58" xfId="0" applyFont="1" applyBorder="1" applyAlignment="1" applyProtection="1">
      <alignment horizontal="center" vertical="center" textRotation="90"/>
      <protection hidden="1"/>
    </xf>
    <xf numFmtId="164" fontId="42" fillId="0" borderId="80" xfId="1" applyNumberFormat="1" applyFont="1" applyBorder="1" applyAlignment="1">
      <alignment horizontal="center" vertical="center" textRotation="90"/>
    </xf>
    <xf numFmtId="164" fontId="42" fillId="0" borderId="14" xfId="1" applyNumberFormat="1" applyFont="1" applyBorder="1" applyAlignment="1">
      <alignment horizontal="center" vertical="center" textRotation="90"/>
    </xf>
    <xf numFmtId="0" fontId="43" fillId="0" borderId="65" xfId="0" applyFont="1" applyBorder="1" applyAlignment="1">
      <alignment horizontal="center" vertical="center" wrapText="1"/>
    </xf>
    <xf numFmtId="0" fontId="43" fillId="0" borderId="58"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58" xfId="0" applyFont="1" applyBorder="1" applyAlignment="1" applyProtection="1">
      <alignment horizontal="center" vertical="center"/>
      <protection hidden="1"/>
    </xf>
    <xf numFmtId="0" fontId="43" fillId="28" borderId="80" xfId="0" applyFont="1" applyFill="1" applyBorder="1" applyAlignment="1" applyProtection="1">
      <alignment horizontal="center" vertical="center" textRotation="90"/>
      <protection locked="0"/>
    </xf>
    <xf numFmtId="0" fontId="43" fillId="28" borderId="14" xfId="0" applyFont="1" applyFill="1" applyBorder="1" applyAlignment="1" applyProtection="1">
      <alignment horizontal="center" vertical="center" textRotation="90"/>
      <protection locked="0"/>
    </xf>
    <xf numFmtId="0" fontId="53" fillId="0" borderId="65" xfId="4" applyFont="1" applyBorder="1" applyAlignment="1">
      <alignment horizontal="center" vertical="center" wrapText="1"/>
    </xf>
    <xf numFmtId="0" fontId="53" fillId="0" borderId="32" xfId="4" applyFont="1" applyBorder="1" applyAlignment="1">
      <alignment horizontal="center" vertical="center" wrapText="1"/>
    </xf>
    <xf numFmtId="0" fontId="53" fillId="0" borderId="66" xfId="4" applyFont="1" applyBorder="1" applyAlignment="1">
      <alignment horizontal="center" vertical="center" wrapText="1"/>
    </xf>
    <xf numFmtId="0" fontId="53" fillId="0" borderId="59" xfId="4" applyFont="1" applyBorder="1" applyAlignment="1">
      <alignment horizontal="center" vertical="center" wrapText="1"/>
    </xf>
    <xf numFmtId="0" fontId="53" fillId="0" borderId="0" xfId="4" applyFont="1" applyAlignment="1">
      <alignment horizontal="center" vertical="center" wrapText="1"/>
    </xf>
    <xf numFmtId="0" fontId="53" fillId="0" borderId="56" xfId="4" applyFont="1" applyBorder="1" applyAlignment="1">
      <alignment horizontal="center" vertical="center" wrapText="1"/>
    </xf>
    <xf numFmtId="0" fontId="53" fillId="0" borderId="55" xfId="4" applyFont="1" applyBorder="1" applyAlignment="1">
      <alignment horizontal="center" vertical="center" wrapText="1"/>
    </xf>
    <xf numFmtId="0" fontId="53" fillId="0" borderId="49" xfId="4" applyFont="1" applyBorder="1" applyAlignment="1">
      <alignment horizontal="center" vertical="center" wrapText="1"/>
    </xf>
    <xf numFmtId="0" fontId="53" fillId="0" borderId="57" xfId="4" applyFont="1" applyBorder="1" applyAlignment="1">
      <alignment horizontal="center" vertical="center" wrapText="1"/>
    </xf>
    <xf numFmtId="0" fontId="54" fillId="0" borderId="65" xfId="4" applyFont="1" applyBorder="1" applyAlignment="1">
      <alignment horizontal="center" vertical="center" wrapText="1"/>
    </xf>
    <xf numFmtId="0" fontId="54" fillId="0" borderId="32" xfId="4" applyFont="1" applyBorder="1" applyAlignment="1">
      <alignment horizontal="center" vertical="center" wrapText="1"/>
    </xf>
    <xf numFmtId="0" fontId="54" fillId="0" borderId="66" xfId="4" applyFont="1" applyBorder="1" applyAlignment="1">
      <alignment horizontal="center" vertical="center" wrapText="1"/>
    </xf>
    <xf numFmtId="0" fontId="54" fillId="0" borderId="59" xfId="4" applyFont="1" applyBorder="1" applyAlignment="1">
      <alignment horizontal="center" vertical="center" wrapText="1"/>
    </xf>
    <xf numFmtId="0" fontId="54" fillId="0" borderId="0" xfId="4" applyFont="1" applyAlignment="1">
      <alignment horizontal="center" vertical="center" wrapText="1"/>
    </xf>
    <xf numFmtId="0" fontId="54" fillId="0" borderId="56" xfId="4" applyFont="1" applyBorder="1" applyAlignment="1">
      <alignment horizontal="center" vertical="center" wrapText="1"/>
    </xf>
    <xf numFmtId="0" fontId="54" fillId="0" borderId="55" xfId="4" applyFont="1" applyBorder="1" applyAlignment="1">
      <alignment horizontal="center" vertical="center" wrapText="1"/>
    </xf>
    <xf numFmtId="0" fontId="54" fillId="0" borderId="49" xfId="4" applyFont="1" applyBorder="1" applyAlignment="1">
      <alignment horizontal="center" vertical="center" wrapText="1"/>
    </xf>
    <xf numFmtId="0" fontId="54" fillId="0" borderId="57" xfId="4" applyFont="1" applyBorder="1" applyAlignment="1">
      <alignment horizontal="center" vertical="center" wrapText="1"/>
    </xf>
    <xf numFmtId="14" fontId="55" fillId="0" borderId="77" xfId="4" applyNumberFormat="1" applyFont="1" applyBorder="1" applyAlignment="1">
      <alignment horizontal="center" vertical="center" wrapText="1"/>
    </xf>
    <xf numFmtId="14" fontId="55" fillId="0" borderId="78" xfId="4" applyNumberFormat="1" applyFont="1" applyBorder="1" applyAlignment="1">
      <alignment horizontal="center" vertical="center" wrapText="1"/>
    </xf>
    <xf numFmtId="14" fontId="55" fillId="0" borderId="76" xfId="4" applyNumberFormat="1" applyFont="1" applyBorder="1" applyAlignment="1">
      <alignment horizontal="center" vertical="center" wrapText="1"/>
    </xf>
    <xf numFmtId="0" fontId="43" fillId="17" borderId="64" xfId="0" applyFont="1" applyFill="1" applyBorder="1" applyAlignment="1">
      <alignment horizontal="center" vertical="center" textRotation="90" wrapText="1"/>
    </xf>
    <xf numFmtId="0" fontId="43" fillId="17" borderId="82" xfId="0" applyFont="1" applyFill="1" applyBorder="1" applyAlignment="1">
      <alignment horizontal="center" vertical="center" textRotation="90" wrapText="1"/>
    </xf>
    <xf numFmtId="0" fontId="42" fillId="0" borderId="14" xfId="0" applyFont="1" applyBorder="1" applyAlignment="1">
      <alignment horizontal="center" vertical="center" wrapText="1"/>
    </xf>
    <xf numFmtId="0" fontId="42" fillId="0" borderId="66" xfId="0" applyFont="1" applyBorder="1" applyAlignment="1">
      <alignment horizontal="center" vertical="center"/>
    </xf>
    <xf numFmtId="0" fontId="43" fillId="0" borderId="77"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59" xfId="0" applyFont="1" applyBorder="1" applyAlignment="1">
      <alignment horizontal="center" vertical="center" wrapText="1"/>
    </xf>
    <xf numFmtId="0" fontId="43" fillId="0" borderId="80" xfId="0" applyFont="1" applyBorder="1" applyAlignment="1">
      <alignment horizontal="center" vertical="center"/>
    </xf>
    <xf numFmtId="0" fontId="43" fillId="0" borderId="14" xfId="0" applyFont="1" applyBorder="1" applyAlignment="1">
      <alignment horizontal="center" vertical="center"/>
    </xf>
    <xf numFmtId="0" fontId="43" fillId="0" borderId="65" xfId="0" applyFont="1" applyBorder="1" applyAlignment="1">
      <alignment horizontal="center" vertical="center"/>
    </xf>
    <xf numFmtId="0" fontId="43" fillId="0" borderId="77" xfId="0" applyFont="1" applyBorder="1" applyAlignment="1" applyProtection="1">
      <alignment horizontal="center" vertical="center" wrapText="1"/>
      <protection locked="0"/>
    </xf>
    <xf numFmtId="0" fontId="43" fillId="0" borderId="13" xfId="0" applyFont="1" applyBorder="1" applyAlignment="1" applyProtection="1">
      <alignment horizontal="center" vertical="center" wrapText="1"/>
      <protection locked="0"/>
    </xf>
    <xf numFmtId="0" fontId="4" fillId="0" borderId="80"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14" xfId="0" applyFont="1" applyBorder="1" applyAlignment="1">
      <alignment horizontal="center" vertical="center" wrapText="1"/>
    </xf>
    <xf numFmtId="0" fontId="42" fillId="0" borderId="80" xfId="0" applyFont="1" applyBorder="1" applyAlignment="1">
      <alignment horizontal="center" vertical="center" wrapText="1"/>
    </xf>
    <xf numFmtId="0" fontId="20" fillId="0" borderId="0" xfId="0" applyFont="1" applyAlignment="1">
      <alignment horizontal="center" vertical="center" wrapText="1"/>
    </xf>
    <xf numFmtId="0" fontId="15" fillId="5" borderId="65" xfId="0" applyFont="1" applyFill="1" applyBorder="1" applyAlignment="1" applyProtection="1">
      <alignment horizontal="center" wrapText="1" readingOrder="1"/>
      <protection hidden="1"/>
    </xf>
    <xf numFmtId="0" fontId="15" fillId="5" borderId="32" xfId="0" applyFont="1" applyFill="1" applyBorder="1" applyAlignment="1" applyProtection="1">
      <alignment horizontal="center" wrapText="1" readingOrder="1"/>
      <protection hidden="1"/>
    </xf>
    <xf numFmtId="0" fontId="15" fillId="5" borderId="59" xfId="0" applyFont="1" applyFill="1" applyBorder="1" applyAlignment="1" applyProtection="1">
      <alignment horizontal="center" wrapText="1" readingOrder="1"/>
      <protection hidden="1"/>
    </xf>
    <xf numFmtId="0" fontId="15" fillId="5" borderId="0" xfId="0" applyFont="1" applyFill="1" applyAlignment="1" applyProtection="1">
      <alignment horizontal="center" wrapText="1" readingOrder="1"/>
      <protection hidden="1"/>
    </xf>
    <xf numFmtId="0" fontId="15" fillId="5" borderId="66" xfId="0" applyFont="1" applyFill="1" applyBorder="1" applyAlignment="1" applyProtection="1">
      <alignment horizontal="center" wrapText="1" readingOrder="1"/>
      <protection hidden="1"/>
    </xf>
    <xf numFmtId="0" fontId="15" fillId="5" borderId="56" xfId="0" applyFont="1" applyFill="1" applyBorder="1" applyAlignment="1" applyProtection="1">
      <alignment horizontal="center" wrapText="1" readingOrder="1"/>
      <protection hidden="1"/>
    </xf>
    <xf numFmtId="0" fontId="15" fillId="5" borderId="55" xfId="0" applyFont="1" applyFill="1" applyBorder="1" applyAlignment="1" applyProtection="1">
      <alignment horizontal="center" wrapText="1" readingOrder="1"/>
      <protection hidden="1"/>
    </xf>
    <xf numFmtId="0" fontId="15" fillId="5" borderId="49" xfId="0" applyFont="1" applyFill="1" applyBorder="1" applyAlignment="1" applyProtection="1">
      <alignment horizontal="center" wrapText="1" readingOrder="1"/>
      <protection hidden="1"/>
    </xf>
    <xf numFmtId="0" fontId="15" fillId="5" borderId="57" xfId="0" applyFont="1" applyFill="1" applyBorder="1" applyAlignment="1" applyProtection="1">
      <alignment horizontal="center" wrapText="1" readingOrder="1"/>
      <protection hidden="1"/>
    </xf>
    <xf numFmtId="0" fontId="15" fillId="13" borderId="65" xfId="0" applyFont="1" applyFill="1" applyBorder="1" applyAlignment="1" applyProtection="1">
      <alignment horizontal="center" wrapText="1" readingOrder="1"/>
      <protection hidden="1"/>
    </xf>
    <xf numFmtId="0" fontId="15" fillId="13" borderId="32" xfId="0" applyFont="1" applyFill="1" applyBorder="1" applyAlignment="1" applyProtection="1">
      <alignment horizontal="center" wrapText="1" readingOrder="1"/>
      <protection hidden="1"/>
    </xf>
    <xf numFmtId="0" fontId="15" fillId="13" borderId="59" xfId="0" applyFont="1" applyFill="1" applyBorder="1" applyAlignment="1" applyProtection="1">
      <alignment horizontal="center" wrapText="1" readingOrder="1"/>
      <protection hidden="1"/>
    </xf>
    <xf numFmtId="0" fontId="15" fillId="13" borderId="0" xfId="0" applyFont="1" applyFill="1" applyAlignment="1" applyProtection="1">
      <alignment horizontal="center" wrapText="1" readingOrder="1"/>
      <protection hidden="1"/>
    </xf>
    <xf numFmtId="0" fontId="15" fillId="13" borderId="66" xfId="0" applyFont="1" applyFill="1" applyBorder="1" applyAlignment="1" applyProtection="1">
      <alignment horizontal="center" wrapText="1" readingOrder="1"/>
      <protection hidden="1"/>
    </xf>
    <xf numFmtId="0" fontId="15" fillId="13" borderId="56" xfId="0" applyFont="1" applyFill="1" applyBorder="1" applyAlignment="1" applyProtection="1">
      <alignment horizontal="center" wrapText="1" readingOrder="1"/>
      <protection hidden="1"/>
    </xf>
    <xf numFmtId="0" fontId="15" fillId="13" borderId="55" xfId="0" applyFont="1" applyFill="1" applyBorder="1" applyAlignment="1" applyProtection="1">
      <alignment horizontal="center" wrapText="1" readingOrder="1"/>
      <protection hidden="1"/>
    </xf>
    <xf numFmtId="0" fontId="15" fillId="13" borderId="49" xfId="0" applyFont="1" applyFill="1" applyBorder="1" applyAlignment="1" applyProtection="1">
      <alignment horizontal="center" wrapText="1" readingOrder="1"/>
      <protection hidden="1"/>
    </xf>
    <xf numFmtId="0" fontId="15" fillId="13" borderId="57" xfId="0" applyFont="1" applyFill="1" applyBorder="1" applyAlignment="1" applyProtection="1">
      <alignment horizontal="center" wrapText="1" readingOrder="1"/>
      <protection hidden="1"/>
    </xf>
    <xf numFmtId="0" fontId="47" fillId="0" borderId="13" xfId="0" applyFont="1" applyBorder="1" applyAlignment="1">
      <alignment horizontal="center" vertical="center" wrapText="1"/>
    </xf>
    <xf numFmtId="0" fontId="47" fillId="0" borderId="13" xfId="0" applyFont="1" applyBorder="1" applyAlignment="1">
      <alignment horizontal="center" vertical="center"/>
    </xf>
    <xf numFmtId="0" fontId="13" fillId="10" borderId="0" xfId="0" applyFont="1" applyFill="1" applyAlignment="1">
      <alignment horizontal="center" vertical="center" textRotation="90" wrapText="1" readingOrder="1"/>
    </xf>
    <xf numFmtId="0" fontId="15" fillId="12" borderId="65" xfId="0" applyFont="1" applyFill="1" applyBorder="1" applyAlignment="1" applyProtection="1">
      <alignment horizontal="center" wrapText="1" readingOrder="1"/>
      <protection hidden="1"/>
    </xf>
    <xf numFmtId="0" fontId="15" fillId="12" borderId="32" xfId="0" applyFont="1" applyFill="1" applyBorder="1" applyAlignment="1" applyProtection="1">
      <alignment horizontal="center" wrapText="1" readingOrder="1"/>
      <protection hidden="1"/>
    </xf>
    <xf numFmtId="0" fontId="15" fillId="12" borderId="59" xfId="0" applyFont="1" applyFill="1" applyBorder="1" applyAlignment="1" applyProtection="1">
      <alignment horizontal="center" wrapText="1" readingOrder="1"/>
      <protection hidden="1"/>
    </xf>
    <xf numFmtId="0" fontId="15" fillId="12" borderId="0" xfId="0" applyFont="1" applyFill="1" applyAlignment="1" applyProtection="1">
      <alignment horizontal="center" wrapText="1" readingOrder="1"/>
      <protection hidden="1"/>
    </xf>
    <xf numFmtId="0" fontId="15" fillId="12" borderId="66" xfId="0" applyFont="1" applyFill="1" applyBorder="1" applyAlignment="1" applyProtection="1">
      <alignment horizontal="center" wrapText="1" readingOrder="1"/>
      <protection hidden="1"/>
    </xf>
    <xf numFmtId="0" fontId="15" fillId="12" borderId="56" xfId="0" applyFont="1" applyFill="1" applyBorder="1" applyAlignment="1" applyProtection="1">
      <alignment horizontal="center" wrapText="1" readingOrder="1"/>
      <protection hidden="1"/>
    </xf>
    <xf numFmtId="0" fontId="15" fillId="12" borderId="55" xfId="0" applyFont="1" applyFill="1" applyBorder="1" applyAlignment="1" applyProtection="1">
      <alignment horizontal="center" wrapText="1" readingOrder="1"/>
      <protection hidden="1"/>
    </xf>
    <xf numFmtId="0" fontId="15" fillId="12" borderId="49" xfId="0" applyFont="1" applyFill="1" applyBorder="1" applyAlignment="1" applyProtection="1">
      <alignment horizontal="center" wrapText="1" readingOrder="1"/>
      <protection hidden="1"/>
    </xf>
    <xf numFmtId="0" fontId="15" fillId="12" borderId="57" xfId="0" applyFont="1" applyFill="1" applyBorder="1" applyAlignment="1" applyProtection="1">
      <alignment horizontal="center" wrapText="1" readingOrder="1"/>
      <protection hidden="1"/>
    </xf>
    <xf numFmtId="0" fontId="15" fillId="11" borderId="59" xfId="0" applyFont="1" applyFill="1" applyBorder="1" applyAlignment="1" applyProtection="1">
      <alignment horizontal="center" vertical="center" wrapText="1" readingOrder="1"/>
      <protection hidden="1"/>
    </xf>
    <xf numFmtId="0" fontId="15" fillId="11" borderId="0" xfId="0" applyFont="1" applyFill="1" applyAlignment="1" applyProtection="1">
      <alignment horizontal="center" vertical="center" wrapText="1" readingOrder="1"/>
      <protection hidden="1"/>
    </xf>
    <xf numFmtId="0" fontId="15" fillId="11" borderId="55" xfId="0" applyFont="1" applyFill="1" applyBorder="1" applyAlignment="1" applyProtection="1">
      <alignment horizontal="center" vertical="center" wrapText="1" readingOrder="1"/>
      <protection hidden="1"/>
    </xf>
    <xf numFmtId="0" fontId="15" fillId="11" borderId="49" xfId="0" applyFont="1" applyFill="1" applyBorder="1" applyAlignment="1" applyProtection="1">
      <alignment horizontal="center" vertical="center" wrapText="1" readingOrder="1"/>
      <protection hidden="1"/>
    </xf>
    <xf numFmtId="0" fontId="15" fillId="11" borderId="56" xfId="0" applyFont="1" applyFill="1" applyBorder="1" applyAlignment="1" applyProtection="1">
      <alignment horizontal="center" vertical="center" wrapText="1" readingOrder="1"/>
      <protection hidden="1"/>
    </xf>
    <xf numFmtId="0" fontId="15" fillId="11" borderId="57" xfId="0" applyFont="1" applyFill="1" applyBorder="1" applyAlignment="1" applyProtection="1">
      <alignment horizontal="center" vertical="center" wrapText="1" readingOrder="1"/>
      <protection hidden="1"/>
    </xf>
    <xf numFmtId="0" fontId="15" fillId="11" borderId="65" xfId="0" applyFont="1" applyFill="1" applyBorder="1" applyAlignment="1" applyProtection="1">
      <alignment horizontal="center" vertical="center" wrapText="1" readingOrder="1"/>
      <protection hidden="1"/>
    </xf>
    <xf numFmtId="0" fontId="15" fillId="11" borderId="32" xfId="0" applyFont="1" applyFill="1" applyBorder="1" applyAlignment="1" applyProtection="1">
      <alignment horizontal="center" vertical="center" wrapText="1" readingOrder="1"/>
      <protection hidden="1"/>
    </xf>
    <xf numFmtId="0" fontId="15" fillId="11" borderId="66" xfId="0" applyFont="1" applyFill="1" applyBorder="1" applyAlignment="1" applyProtection="1">
      <alignment horizontal="center" vertical="center" wrapText="1" readingOrder="1"/>
      <protection hidden="1"/>
    </xf>
    <xf numFmtId="0" fontId="13" fillId="10" borderId="0" xfId="0" applyFont="1" applyFill="1" applyAlignment="1">
      <alignment horizontal="center" vertical="center" wrapText="1" readingOrder="1"/>
    </xf>
    <xf numFmtId="0" fontId="16" fillId="12" borderId="8" xfId="0" applyFont="1" applyFill="1" applyBorder="1" applyAlignment="1">
      <alignment horizontal="center" vertical="center" wrapText="1" readingOrder="1"/>
    </xf>
    <xf numFmtId="0" fontId="16" fillId="12" borderId="9" xfId="0" applyFont="1" applyFill="1" applyBorder="1" applyAlignment="1">
      <alignment horizontal="center" vertical="center" wrapText="1" readingOrder="1"/>
    </xf>
    <xf numFmtId="0" fontId="16" fillId="12" borderId="10" xfId="0" applyFont="1" applyFill="1" applyBorder="1" applyAlignment="1">
      <alignment horizontal="center" vertical="center" wrapText="1" readingOrder="1"/>
    </xf>
    <xf numFmtId="0" fontId="16" fillId="12" borderId="11" xfId="0" applyFont="1" applyFill="1" applyBorder="1" applyAlignment="1">
      <alignment horizontal="center" vertical="center" wrapText="1" readingOrder="1"/>
    </xf>
    <xf numFmtId="0" fontId="16" fillId="12" borderId="0" xfId="0" applyFont="1" applyFill="1" applyAlignment="1">
      <alignment horizontal="center" vertical="center" wrapText="1" readingOrder="1"/>
    </xf>
    <xf numFmtId="0" fontId="16" fillId="12" borderId="12" xfId="0" applyFont="1" applyFill="1" applyBorder="1" applyAlignment="1">
      <alignment horizontal="center" vertical="center" wrapText="1" readingOrder="1"/>
    </xf>
    <xf numFmtId="0" fontId="16" fillId="11" borderId="8" xfId="0" applyFont="1" applyFill="1" applyBorder="1" applyAlignment="1">
      <alignment horizontal="center" vertical="center" wrapText="1" readingOrder="1"/>
    </xf>
    <xf numFmtId="0" fontId="16" fillId="11" borderId="9" xfId="0" applyFont="1" applyFill="1" applyBorder="1" applyAlignment="1">
      <alignment horizontal="center" vertical="center" wrapText="1" readingOrder="1"/>
    </xf>
    <xf numFmtId="0" fontId="16" fillId="11" borderId="10" xfId="0" applyFont="1" applyFill="1" applyBorder="1" applyAlignment="1">
      <alignment horizontal="center" vertical="center" wrapText="1" readingOrder="1"/>
    </xf>
    <xf numFmtId="0" fontId="16" fillId="11" borderId="11" xfId="0" applyFont="1" applyFill="1" applyBorder="1" applyAlignment="1">
      <alignment horizontal="center" vertical="center" wrapText="1" readingOrder="1"/>
    </xf>
    <xf numFmtId="0" fontId="16" fillId="11" borderId="0" xfId="0" applyFont="1" applyFill="1" applyAlignment="1">
      <alignment horizontal="center" vertical="center" wrapText="1" readingOrder="1"/>
    </xf>
    <xf numFmtId="0" fontId="16" fillId="11" borderId="12" xfId="0" applyFont="1" applyFill="1" applyBorder="1" applyAlignment="1">
      <alignment horizontal="center" vertical="center" wrapText="1" readingOrder="1"/>
    </xf>
    <xf numFmtId="0" fontId="16" fillId="13" borderId="8" xfId="0" applyFont="1" applyFill="1" applyBorder="1" applyAlignment="1">
      <alignment horizontal="center" vertical="center" wrapText="1" readingOrder="1"/>
    </xf>
    <xf numFmtId="0" fontId="16" fillId="13" borderId="9" xfId="0" applyFont="1" applyFill="1" applyBorder="1" applyAlignment="1">
      <alignment horizontal="center" vertical="center" wrapText="1" readingOrder="1"/>
    </xf>
    <xf numFmtId="0" fontId="16" fillId="13" borderId="10" xfId="0" applyFont="1" applyFill="1" applyBorder="1" applyAlignment="1">
      <alignment horizontal="center" vertical="center" wrapText="1" readingOrder="1"/>
    </xf>
    <xf numFmtId="0" fontId="16" fillId="13" borderId="11" xfId="0" applyFont="1" applyFill="1" applyBorder="1" applyAlignment="1">
      <alignment horizontal="center" vertical="center" wrapText="1" readingOrder="1"/>
    </xf>
    <xf numFmtId="0" fontId="16" fillId="13" borderId="0" xfId="0" applyFont="1" applyFill="1" applyAlignment="1">
      <alignment horizontal="center" vertical="center" wrapText="1" readingOrder="1"/>
    </xf>
    <xf numFmtId="0" fontId="16" fillId="13" borderId="12" xfId="0" applyFont="1" applyFill="1" applyBorder="1" applyAlignment="1">
      <alignment horizontal="center" vertical="center" wrapText="1" readingOrder="1"/>
    </xf>
    <xf numFmtId="0" fontId="16" fillId="5" borderId="8" xfId="0" applyFont="1" applyFill="1" applyBorder="1" applyAlignment="1">
      <alignment horizontal="center" vertical="center" wrapText="1" readingOrder="1"/>
    </xf>
    <xf numFmtId="0" fontId="16" fillId="5" borderId="9" xfId="0" applyFont="1" applyFill="1" applyBorder="1" applyAlignment="1">
      <alignment horizontal="center" vertical="center" wrapText="1" readingOrder="1"/>
    </xf>
    <xf numFmtId="0" fontId="16" fillId="5" borderId="10" xfId="0" applyFont="1" applyFill="1" applyBorder="1" applyAlignment="1">
      <alignment horizontal="center" vertical="center" wrapText="1" readingOrder="1"/>
    </xf>
    <xf numFmtId="0" fontId="16" fillId="5" borderId="11" xfId="0" applyFont="1" applyFill="1" applyBorder="1" applyAlignment="1">
      <alignment horizontal="center" vertical="center" wrapText="1" readingOrder="1"/>
    </xf>
    <xf numFmtId="0" fontId="16" fillId="5" borderId="0" xfId="0" applyFont="1" applyFill="1" applyAlignment="1">
      <alignment horizontal="center" vertical="center" wrapText="1" readingOrder="1"/>
    </xf>
    <xf numFmtId="0" fontId="16" fillId="5" borderId="12" xfId="0" applyFont="1" applyFill="1" applyBorder="1" applyAlignment="1">
      <alignment horizontal="center" vertical="center" wrapText="1" readingOrder="1"/>
    </xf>
    <xf numFmtId="0" fontId="45" fillId="0" borderId="13" xfId="0" applyFont="1" applyBorder="1" applyAlignment="1">
      <alignment horizontal="center" vertical="center" wrapText="1"/>
    </xf>
    <xf numFmtId="0" fontId="45" fillId="0" borderId="13" xfId="0" applyFont="1" applyBorder="1" applyAlignment="1">
      <alignment horizontal="center" vertical="center"/>
    </xf>
    <xf numFmtId="0" fontId="46" fillId="0" borderId="13" xfId="0" applyFont="1" applyBorder="1" applyAlignment="1">
      <alignment horizontal="center" vertical="center" wrapText="1"/>
    </xf>
    <xf numFmtId="0" fontId="46" fillId="0" borderId="13" xfId="0" applyFont="1" applyBorder="1" applyAlignment="1">
      <alignment horizontal="center" vertical="center"/>
    </xf>
    <xf numFmtId="0" fontId="48" fillId="0" borderId="13" xfId="0" applyFont="1" applyBorder="1" applyAlignment="1">
      <alignment horizontal="center" vertical="center" wrapText="1"/>
    </xf>
    <xf numFmtId="0" fontId="48" fillId="0" borderId="13" xfId="0" applyFont="1" applyBorder="1" applyAlignment="1">
      <alignment horizontal="center" vertical="center"/>
    </xf>
    <xf numFmtId="0" fontId="28" fillId="11" borderId="8" xfId="0" applyFont="1" applyFill="1" applyBorder="1" applyAlignment="1">
      <alignment horizontal="center" vertical="center" wrapText="1" readingOrder="1"/>
    </xf>
    <xf numFmtId="0" fontId="28" fillId="11" borderId="9" xfId="0" applyFont="1" applyFill="1" applyBorder="1" applyAlignment="1">
      <alignment horizontal="center" vertical="center" wrapText="1" readingOrder="1"/>
    </xf>
    <xf numFmtId="0" fontId="28" fillId="11" borderId="10" xfId="0" applyFont="1" applyFill="1" applyBorder="1" applyAlignment="1">
      <alignment horizontal="center" vertical="center" wrapText="1" readingOrder="1"/>
    </xf>
    <xf numFmtId="0" fontId="28" fillId="11" borderId="11" xfId="0" applyFont="1" applyFill="1" applyBorder="1" applyAlignment="1">
      <alignment horizontal="center" vertical="center" wrapText="1" readingOrder="1"/>
    </xf>
    <xf numFmtId="0" fontId="28" fillId="11" borderId="0" xfId="0" applyFont="1" applyFill="1" applyAlignment="1">
      <alignment horizontal="center" vertical="center" wrapText="1" readingOrder="1"/>
    </xf>
    <xf numFmtId="0" fontId="28" fillId="11" borderId="12" xfId="0" applyFont="1" applyFill="1" applyBorder="1" applyAlignment="1">
      <alignment horizontal="center" vertical="center" wrapText="1" readingOrder="1"/>
    </xf>
    <xf numFmtId="0" fontId="28" fillId="12" borderId="8" xfId="0" applyFont="1" applyFill="1" applyBorder="1" applyAlignment="1">
      <alignment horizontal="center" vertical="center" wrapText="1" readingOrder="1"/>
    </xf>
    <xf numFmtId="0" fontId="28" fillId="12" borderId="9" xfId="0" applyFont="1" applyFill="1" applyBorder="1" applyAlignment="1">
      <alignment horizontal="center" vertical="center" wrapText="1" readingOrder="1"/>
    </xf>
    <xf numFmtId="0" fontId="28" fillId="12" borderId="10" xfId="0" applyFont="1" applyFill="1" applyBorder="1" applyAlignment="1">
      <alignment horizontal="center" vertical="center" wrapText="1" readingOrder="1"/>
    </xf>
    <xf numFmtId="0" fontId="28" fillId="12" borderId="11" xfId="0" applyFont="1" applyFill="1" applyBorder="1" applyAlignment="1">
      <alignment horizontal="center" vertical="center" wrapText="1" readingOrder="1"/>
    </xf>
    <xf numFmtId="0" fontId="28" fillId="12" borderId="0" xfId="0" applyFont="1" applyFill="1" applyAlignment="1">
      <alignment horizontal="center" vertical="center" wrapText="1" readingOrder="1"/>
    </xf>
    <xf numFmtId="0" fontId="28" fillId="12" borderId="12" xfId="0" applyFont="1" applyFill="1" applyBorder="1" applyAlignment="1">
      <alignment horizontal="center" vertical="center" wrapText="1" readingOrder="1"/>
    </xf>
    <xf numFmtId="0" fontId="27" fillId="0" borderId="0" xfId="0" applyFont="1" applyAlignment="1">
      <alignment horizontal="center" vertical="center" wrapText="1"/>
    </xf>
    <xf numFmtId="0" fontId="17" fillId="0" borderId="0" xfId="0" applyFont="1" applyAlignment="1">
      <alignment horizontal="center" vertical="center" wrapText="1"/>
    </xf>
    <xf numFmtId="0" fontId="28" fillId="5" borderId="8" xfId="0" applyFont="1" applyFill="1" applyBorder="1" applyAlignment="1">
      <alignment horizontal="center" vertical="center" wrapText="1" readingOrder="1"/>
    </xf>
    <xf numFmtId="0" fontId="28" fillId="5" borderId="9" xfId="0" applyFont="1" applyFill="1" applyBorder="1" applyAlignment="1">
      <alignment horizontal="center" vertical="center" wrapText="1" readingOrder="1"/>
    </xf>
    <xf numFmtId="0" fontId="28" fillId="5" borderId="10" xfId="0" applyFont="1" applyFill="1" applyBorder="1" applyAlignment="1">
      <alignment horizontal="center" vertical="center" wrapText="1" readingOrder="1"/>
    </xf>
    <xf numFmtId="0" fontId="28" fillId="5" borderId="11" xfId="0" applyFont="1" applyFill="1" applyBorder="1" applyAlignment="1">
      <alignment horizontal="center" vertical="center" wrapText="1" readingOrder="1"/>
    </xf>
    <xf numFmtId="0" fontId="28" fillId="5" borderId="0" xfId="0" applyFont="1" applyFill="1" applyAlignment="1">
      <alignment horizontal="center" vertical="center" wrapText="1" readingOrder="1"/>
    </xf>
    <xf numFmtId="0" fontId="28" fillId="5" borderId="12" xfId="0" applyFont="1" applyFill="1" applyBorder="1" applyAlignment="1">
      <alignment horizontal="center" vertical="center" wrapText="1" readingOrder="1"/>
    </xf>
    <xf numFmtId="0" fontId="28" fillId="13" borderId="8" xfId="0" applyFont="1" applyFill="1" applyBorder="1" applyAlignment="1">
      <alignment horizontal="center" vertical="center" wrapText="1" readingOrder="1"/>
    </xf>
    <xf numFmtId="0" fontId="28" fillId="13" borderId="9" xfId="0" applyFont="1" applyFill="1" applyBorder="1" applyAlignment="1">
      <alignment horizontal="center" vertical="center" wrapText="1" readingOrder="1"/>
    </xf>
    <xf numFmtId="0" fontId="28" fillId="13" borderId="10" xfId="0" applyFont="1" applyFill="1" applyBorder="1" applyAlignment="1">
      <alignment horizontal="center" vertical="center" wrapText="1" readingOrder="1"/>
    </xf>
    <xf numFmtId="0" fontId="28" fillId="13" borderId="11" xfId="0" applyFont="1" applyFill="1" applyBorder="1" applyAlignment="1">
      <alignment horizontal="center" vertical="center" wrapText="1" readingOrder="1"/>
    </xf>
    <xf numFmtId="0" fontId="28" fillId="13" borderId="0" xfId="0" applyFont="1" applyFill="1" applyAlignment="1">
      <alignment horizontal="center" vertical="center" wrapText="1" readingOrder="1"/>
    </xf>
    <xf numFmtId="0" fontId="28" fillId="13" borderId="12" xfId="0" applyFont="1" applyFill="1" applyBorder="1" applyAlignment="1">
      <alignment horizontal="center" vertical="center" wrapText="1" readingOrder="1"/>
    </xf>
    <xf numFmtId="0" fontId="19" fillId="0" borderId="0" xfId="0" applyFont="1" applyAlignment="1">
      <alignment horizontal="center" vertical="center"/>
    </xf>
    <xf numFmtId="0" fontId="58" fillId="17" borderId="13" xfId="0" applyFont="1" applyFill="1" applyBorder="1" applyAlignment="1">
      <alignment horizontal="center" vertical="center"/>
    </xf>
    <xf numFmtId="0" fontId="58" fillId="17" borderId="80" xfId="0" applyFont="1" applyFill="1" applyBorder="1" applyAlignment="1">
      <alignment horizontal="center" vertical="center"/>
    </xf>
    <xf numFmtId="0" fontId="58" fillId="17" borderId="85" xfId="0" applyFont="1" applyFill="1" applyBorder="1" applyAlignment="1">
      <alignment horizontal="center" vertical="center"/>
    </xf>
    <xf numFmtId="0" fontId="58" fillId="17" borderId="86" xfId="0" applyFont="1" applyFill="1" applyBorder="1" applyAlignment="1">
      <alignment horizontal="center" vertical="center"/>
    </xf>
    <xf numFmtId="0" fontId="50" fillId="0" borderId="13" xfId="0" applyFont="1" applyBorder="1" applyAlignment="1">
      <alignment horizontal="center"/>
    </xf>
    <xf numFmtId="0" fontId="50" fillId="0" borderId="77" xfId="0" applyFont="1" applyBorder="1" applyAlignment="1">
      <alignment horizontal="center"/>
    </xf>
    <xf numFmtId="0" fontId="50" fillId="0" borderId="78" xfId="0" applyFont="1" applyBorder="1" applyAlignment="1">
      <alignment horizontal="center"/>
    </xf>
    <xf numFmtId="0" fontId="50" fillId="26" borderId="13" xfId="0" applyFont="1" applyFill="1" applyBorder="1" applyAlignment="1">
      <alignment horizontal="center" vertical="center"/>
    </xf>
    <xf numFmtId="0" fontId="58" fillId="17" borderId="77" xfId="0" applyFont="1" applyFill="1" applyBorder="1" applyAlignment="1">
      <alignment horizontal="center" vertical="center"/>
    </xf>
    <xf numFmtId="0" fontId="50" fillId="3" borderId="77" xfId="0" applyFont="1" applyFill="1" applyBorder="1" applyAlignment="1" applyProtection="1">
      <alignment horizontal="left" wrapText="1"/>
      <protection locked="0"/>
    </xf>
    <xf numFmtId="0" fontId="50" fillId="3" borderId="78" xfId="0" applyFont="1" applyFill="1" applyBorder="1" applyAlignment="1" applyProtection="1">
      <alignment horizontal="left" wrapText="1"/>
      <protection locked="0"/>
    </xf>
    <xf numFmtId="0" fontId="50" fillId="26" borderId="17" xfId="0" applyFont="1" applyFill="1" applyBorder="1" applyAlignment="1">
      <alignment horizontal="center"/>
    </xf>
    <xf numFmtId="0" fontId="50" fillId="26" borderId="18" xfId="0" applyFont="1" applyFill="1" applyBorder="1" applyAlignment="1">
      <alignment horizontal="center"/>
    </xf>
    <xf numFmtId="0" fontId="58" fillId="17" borderId="67" xfId="0" applyFont="1" applyFill="1" applyBorder="1" applyAlignment="1">
      <alignment horizontal="center" vertical="center"/>
    </xf>
    <xf numFmtId="0" fontId="50" fillId="3" borderId="13" xfId="0" applyFont="1" applyFill="1" applyBorder="1" applyAlignment="1" applyProtection="1">
      <alignment horizontal="left"/>
      <protection locked="0"/>
    </xf>
    <xf numFmtId="0" fontId="50" fillId="3" borderId="77" xfId="0" applyFont="1" applyFill="1" applyBorder="1" applyAlignment="1" applyProtection="1">
      <alignment horizontal="left"/>
      <protection locked="0"/>
    </xf>
    <xf numFmtId="0" fontId="50" fillId="26" borderId="76" xfId="0" applyFont="1" applyFill="1" applyBorder="1" applyAlignment="1">
      <alignment horizontal="center"/>
    </xf>
    <xf numFmtId="0" fontId="50" fillId="0" borderId="0" xfId="0" applyFont="1" applyAlignment="1">
      <alignment horizontal="center"/>
    </xf>
    <xf numFmtId="0" fontId="50" fillId="26" borderId="77" xfId="0" applyFont="1" applyFill="1" applyBorder="1" applyAlignment="1">
      <alignment horizontal="center" wrapText="1"/>
    </xf>
    <xf numFmtId="0" fontId="50" fillId="26" borderId="76" xfId="0" applyFont="1" applyFill="1" applyBorder="1" applyAlignment="1">
      <alignment horizontal="center" wrapText="1"/>
    </xf>
    <xf numFmtId="0" fontId="50" fillId="26" borderId="78" xfId="0" applyFont="1" applyFill="1" applyBorder="1" applyAlignment="1">
      <alignment horizontal="center" wrapText="1"/>
    </xf>
    <xf numFmtId="0" fontId="50" fillId="26" borderId="13" xfId="0" applyFont="1" applyFill="1" applyBorder="1" applyAlignment="1">
      <alignment horizontal="center" wrapText="1"/>
    </xf>
    <xf numFmtId="0" fontId="50" fillId="26" borderId="13" xfId="0" applyFont="1" applyFill="1" applyBorder="1" applyAlignment="1">
      <alignment horizontal="center"/>
    </xf>
    <xf numFmtId="0" fontId="50" fillId="26" borderId="77" xfId="0" applyFont="1" applyFill="1" applyBorder="1" applyAlignment="1">
      <alignment horizontal="center"/>
    </xf>
    <xf numFmtId="0" fontId="58" fillId="0" borderId="0" xfId="0" applyFont="1" applyAlignment="1">
      <alignment horizontal="center" vertical="center"/>
    </xf>
    <xf numFmtId="0" fontId="26" fillId="15" borderId="15" xfId="0" applyFont="1" applyFill="1" applyBorder="1" applyAlignment="1">
      <alignment horizontal="center" vertical="center" wrapText="1" readingOrder="1"/>
    </xf>
    <xf numFmtId="0" fontId="26" fillId="15" borderId="16" xfId="0" applyFont="1" applyFill="1" applyBorder="1" applyAlignment="1">
      <alignment horizontal="center" vertical="center" wrapText="1" readingOrder="1"/>
    </xf>
    <xf numFmtId="0" fontId="26" fillId="15" borderId="27" xfId="0" applyFont="1" applyFill="1" applyBorder="1" applyAlignment="1">
      <alignment horizontal="center" vertical="center" wrapText="1" readingOrder="1"/>
    </xf>
    <xf numFmtId="0" fontId="21" fillId="3" borderId="0" xfId="0" applyFont="1" applyFill="1" applyAlignment="1">
      <alignment horizontal="justify" vertical="center" wrapText="1"/>
    </xf>
    <xf numFmtId="0" fontId="23" fillId="15" borderId="24" xfId="0" applyFont="1" applyFill="1" applyBorder="1" applyAlignment="1">
      <alignment horizontal="center" vertical="center" wrapText="1" readingOrder="1"/>
    </xf>
    <xf numFmtId="0" fontId="23" fillId="15" borderId="25"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7" xfId="0" applyFont="1" applyFill="1" applyBorder="1" applyAlignment="1">
      <alignment horizontal="center" vertical="center" wrapText="1" readingOrder="1"/>
    </xf>
    <xf numFmtId="0" fontId="23" fillId="3" borderId="14" xfId="0" applyFont="1" applyFill="1" applyBorder="1" applyAlignment="1">
      <alignment horizontal="center" vertical="center" wrapText="1" readingOrder="1"/>
    </xf>
    <xf numFmtId="0" fontId="23" fillId="3" borderId="13"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20" xfId="0" applyFont="1" applyFill="1" applyBorder="1" applyAlignment="1">
      <alignment horizontal="center" vertical="center" wrapText="1" readingOrder="1"/>
    </xf>
    <xf numFmtId="0" fontId="42" fillId="3" borderId="75" xfId="0" applyFont="1" applyFill="1" applyBorder="1" applyAlignment="1">
      <alignment horizontal="center" vertical="center" wrapText="1"/>
    </xf>
    <xf numFmtId="0" fontId="42" fillId="3" borderId="76"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18" xfId="0" applyFont="1" applyFill="1" applyBorder="1" applyAlignment="1">
      <alignment horizontal="center" vertical="center" wrapText="1"/>
    </xf>
    <xf numFmtId="0" fontId="49" fillId="0" borderId="28" xfId="0" applyFont="1" applyBorder="1" applyAlignment="1">
      <alignment horizontal="center" vertical="center"/>
    </xf>
    <xf numFmtId="0" fontId="49" fillId="0" borderId="67" xfId="0" applyFont="1" applyBorder="1" applyAlignment="1">
      <alignment horizontal="center" vertical="center"/>
    </xf>
    <xf numFmtId="0" fontId="49" fillId="0" borderId="68" xfId="0" applyFont="1" applyBorder="1" applyAlignment="1">
      <alignment horizontal="center" vertical="center"/>
    </xf>
    <xf numFmtId="0" fontId="49" fillId="0" borderId="29" xfId="0" applyFont="1" applyBorder="1" applyAlignment="1">
      <alignment horizontal="center" vertical="center"/>
    </xf>
    <xf numFmtId="0" fontId="49" fillId="0" borderId="30" xfId="0" applyFont="1" applyBorder="1" applyAlignment="1">
      <alignment horizontal="center" vertical="center"/>
    </xf>
    <xf numFmtId="0" fontId="49" fillId="0" borderId="69" xfId="0" applyFont="1" applyBorder="1" applyAlignment="1">
      <alignment horizontal="center" vertical="center" wrapText="1"/>
    </xf>
    <xf numFmtId="0" fontId="49" fillId="0" borderId="70" xfId="0" applyFont="1" applyBorder="1" applyAlignment="1">
      <alignment horizontal="center" vertical="center" wrapText="1"/>
    </xf>
    <xf numFmtId="0" fontId="49" fillId="0" borderId="71" xfId="0" applyFont="1" applyBorder="1" applyAlignment="1">
      <alignment horizontal="center" vertical="center" wrapText="1"/>
    </xf>
    <xf numFmtId="0" fontId="49" fillId="0" borderId="72" xfId="0" applyFont="1" applyBorder="1" applyAlignment="1">
      <alignment horizontal="center" vertical="center" wrapText="1"/>
    </xf>
    <xf numFmtId="0" fontId="49" fillId="0" borderId="73" xfId="0" applyFont="1" applyBorder="1" applyAlignment="1">
      <alignment horizontal="center" vertical="center" wrapText="1"/>
    </xf>
    <xf numFmtId="0" fontId="43" fillId="24" borderId="15" xfId="0" applyFont="1" applyFill="1" applyBorder="1" applyAlignment="1">
      <alignment horizontal="center" vertical="center" wrapText="1"/>
    </xf>
    <xf numFmtId="0" fontId="43" fillId="24" borderId="16" xfId="0" applyFont="1" applyFill="1" applyBorder="1" applyAlignment="1">
      <alignment horizontal="center" vertical="center" wrapText="1"/>
    </xf>
    <xf numFmtId="0" fontId="43" fillId="24" borderId="27" xfId="0" applyFont="1" applyFill="1" applyBorder="1" applyAlignment="1">
      <alignment horizontal="center" vertical="center" wrapText="1"/>
    </xf>
    <xf numFmtId="0" fontId="43" fillId="25" borderId="15" xfId="0" applyFont="1" applyFill="1" applyBorder="1" applyAlignment="1">
      <alignment horizontal="center" vertical="center" wrapText="1"/>
    </xf>
    <xf numFmtId="0" fontId="43" fillId="25" borderId="27" xfId="0" applyFont="1" applyFill="1" applyBorder="1" applyAlignment="1">
      <alignment horizontal="center" vertical="center" wrapText="1"/>
    </xf>
    <xf numFmtId="0" fontId="43" fillId="25" borderId="24" xfId="0" applyFont="1" applyFill="1" applyBorder="1" applyAlignment="1">
      <alignment horizontal="center" vertical="center" wrapText="1"/>
    </xf>
    <xf numFmtId="0" fontId="43" fillId="25" borderId="25" xfId="0" applyFont="1" applyFill="1" applyBorder="1" applyAlignment="1">
      <alignment horizontal="center" vertical="center" wrapText="1"/>
    </xf>
    <xf numFmtId="0" fontId="43" fillId="25" borderId="26" xfId="0" applyFont="1" applyFill="1" applyBorder="1" applyAlignment="1">
      <alignment horizontal="center" vertical="center" wrapText="1"/>
    </xf>
    <xf numFmtId="0" fontId="42" fillId="3" borderId="48" xfId="0" applyFont="1" applyFill="1" applyBorder="1" applyAlignment="1">
      <alignment horizontal="center" vertical="center" wrapText="1"/>
    </xf>
    <xf numFmtId="0" fontId="42" fillId="3" borderId="57" xfId="0" applyFont="1" applyFill="1" applyBorder="1" applyAlignment="1">
      <alignment horizontal="center" vertical="center" wrapText="1"/>
    </xf>
    <xf numFmtId="0" fontId="42" fillId="0" borderId="68" xfId="0" applyFont="1" applyBorder="1" applyAlignment="1">
      <alignment horizontal="center"/>
    </xf>
    <xf numFmtId="0" fontId="42" fillId="0" borderId="29" xfId="0" applyFont="1" applyBorder="1" applyAlignment="1">
      <alignment horizontal="center"/>
    </xf>
    <xf numFmtId="0" fontId="42" fillId="0" borderId="30" xfId="0" applyFont="1" applyBorder="1" applyAlignment="1">
      <alignment horizontal="center"/>
    </xf>
    <xf numFmtId="0" fontId="42" fillId="3" borderId="69" xfId="0" applyFont="1" applyFill="1" applyBorder="1" applyAlignment="1">
      <alignment horizontal="center" vertical="center" wrapText="1"/>
    </xf>
    <xf numFmtId="0" fontId="42" fillId="3" borderId="70" xfId="0" applyFont="1" applyFill="1" applyBorder="1" applyAlignment="1">
      <alignment horizontal="center" vertical="center" wrapText="1"/>
    </xf>
    <xf numFmtId="0" fontId="42" fillId="3" borderId="20" xfId="0" applyFont="1" applyFill="1" applyBorder="1" applyAlignment="1">
      <alignment horizontal="center" vertical="center" wrapText="1"/>
    </xf>
    <xf numFmtId="0" fontId="42" fillId="3" borderId="21" xfId="0" applyFont="1" applyFill="1" applyBorder="1" applyAlignment="1">
      <alignment horizontal="center"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01">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37</xdr:col>
      <xdr:colOff>273844</xdr:colOff>
      <xdr:row>1</xdr:row>
      <xdr:rowOff>71437</xdr:rowOff>
    </xdr:from>
    <xdr:to>
      <xdr:col>38</xdr:col>
      <xdr:colOff>309562</xdr:colOff>
      <xdr:row>3</xdr:row>
      <xdr:rowOff>130968</xdr:rowOff>
    </xdr:to>
    <xdr:pic>
      <xdr:nvPicPr>
        <xdr:cNvPr id="3" name="Imagen 8">
          <a:extLst>
            <a:ext uri="{FF2B5EF4-FFF2-40B4-BE49-F238E27FC236}">
              <a16:creationId xmlns:a16="http://schemas.microsoft.com/office/drawing/2014/main" id="{00000000-0008-0000-0000-0000C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55375" y="238125"/>
          <a:ext cx="916781"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5</xdr:row>
      <xdr:rowOff>0</xdr:rowOff>
    </xdr:from>
    <xdr:to>
      <xdr:col>12</xdr:col>
      <xdr:colOff>638175</xdr:colOff>
      <xdr:row>7</xdr:row>
      <xdr:rowOff>161925</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3025" y="1724025"/>
          <a:ext cx="5400675" cy="156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ALMACEN%20%20202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ESTRATEGICOS\RIESGOS%20CORRUPCION%20TALENTO%20HUMANO%20202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MISIONALES\RIESGOS%20CORRUPCION%20APOYO%20SERVICIOS%20SALUD%2020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MISIONALES\RIESGOS%20CORRUPCION%20FARMACIA%20%20202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Desktop/RIESGO%20SICOF%20CONSOLIDAD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ALMACEN%20%20202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BIOMEDICA%20202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CONTRATACION%20202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FINANCIERA%20202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GESTION%20DOCUMENTAL%20202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JURIDICA%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BIOMEDICA%20202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MANTENIMIENTO%20202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SISTEMAS%20202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ESTRATEGICOS\RIESGOS%20CORRUPCION%20%20QHSE%202023.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2022\RIESGOS\MAPAS%20DE%20RIESGO\CORRUPCION\RIESGOS%20CORRUPCION%20MANTENIMIENTO%20202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ESTRATEGICOS\RIESGOS%20CORRUPCION%20TALENTO%20HUMANO%202023.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MISIONALES\RIESGOS%20CORRUPCION%20FARMACIA%20%202023.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Desktop\RIESGO%20SICOF%20CONSOLIDAD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DORISOL/Downloads/FORMATO%20SARLAFT-SICOF%20(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MAPAS%20DE%20RIESGOS%20GENERAL\SICOF\FORMATO%20SARLAFT-SICOF%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SARLAFT%20HOSPITAL%20TUNJA\OFICINA\SICOF%20-SALRAFT%20HUSRT%202023\MATRIZ%20RIESGO%20SARLAF-SICOF\FORMATO%20MAPA%20DE%20RIESGOS%20SICOF%20SARL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CONTRATACION%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FINANCIERA%20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GESTION%20ADMINISTRATIVA%20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GESTION%20DOCUMENTAL%20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JURIDICA%20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MANTENIMIENTO%20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ESTRATEGICOS\RIESGOS%20CORRUPCION%20%20QHS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M10" t="str">
            <v>Mayor</v>
          </cell>
          <cell r="P10" t="str">
            <v>Alto</v>
          </cell>
        </row>
      </sheetData>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Catastrófico</v>
          </cell>
          <cell r="P10" t="str">
            <v>Extremo</v>
          </cell>
        </row>
        <row r="13">
          <cell r="P13" t="str">
            <v>Alto</v>
          </cell>
        </row>
      </sheetData>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K10" t="str">
            <v>Catastrófico</v>
          </cell>
          <cell r="P10" t="str">
            <v>Extremo</v>
          </cell>
        </row>
      </sheetData>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refreshError="1"/>
      <sheetData sheetId="1" refreshError="1">
        <row r="10">
          <cell r="K10" t="str">
            <v>Catastrófico</v>
          </cell>
          <cell r="P10" t="str">
            <v>Extremo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sheetData sheetId="2">
        <row r="10">
          <cell r="S10" t="str">
            <v>Probabilidad</v>
          </cell>
        </row>
        <row r="11">
          <cell r="S11" t="str">
            <v>Probabilidad</v>
          </cell>
        </row>
        <row r="12">
          <cell r="S12" t="str">
            <v>Probabilidad</v>
          </cell>
        </row>
        <row r="13">
          <cell r="S13" t="str">
            <v>Probabilidad</v>
          </cell>
        </row>
        <row r="14">
          <cell r="S14" t="str">
            <v>Probabilidad</v>
          </cell>
        </row>
        <row r="15">
          <cell r="S15" t="str">
            <v>Probabilidad</v>
          </cell>
        </row>
        <row r="16">
          <cell r="S16" t="str">
            <v>Probabilidad</v>
          </cell>
        </row>
        <row r="17">
          <cell r="S17" t="str">
            <v>Probabilidad</v>
          </cell>
        </row>
        <row r="18">
          <cell r="S18" t="str">
            <v>Probabilidad</v>
          </cell>
        </row>
        <row r="19">
          <cell r="S19" t="str">
            <v>Probabilidad</v>
          </cell>
        </row>
        <row r="20">
          <cell r="S20" t="str">
            <v>Probabilidad</v>
          </cell>
        </row>
      </sheetData>
      <sheetData sheetId="3" refreshError="1"/>
      <sheetData sheetId="4" refreshError="1"/>
      <sheetData sheetId="5" refreshError="1"/>
      <sheetData sheetId="6" refreshError="1"/>
      <sheetData sheetId="7"/>
      <sheetData sheetId="8" refreshError="1"/>
      <sheetData sheetId="9"/>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M10" t="str">
            <v>Mayor</v>
          </cell>
        </row>
      </sheetData>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J10">
            <v>0.2</v>
          </cell>
        </row>
      </sheetData>
      <sheetData sheetId="2"/>
      <sheetData sheetId="3"/>
      <sheetData sheetId="4"/>
      <sheetData sheetId="5"/>
      <sheetData sheetId="6"/>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M10" t="str">
            <v>Catastrófico</v>
          </cell>
        </row>
      </sheetData>
      <sheetData sheetId="2"/>
      <sheetData sheetId="3"/>
      <sheetData sheetId="4"/>
      <sheetData sheetId="5"/>
      <sheetData sheetId="6"/>
      <sheetData sheetId="7"/>
      <sheetData sheetId="8"/>
      <sheetData sheetId="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Económico y Reputacional</v>
          </cell>
        </row>
      </sheetData>
      <sheetData sheetId="2"/>
      <sheetData sheetId="3"/>
      <sheetData sheetId="4"/>
      <sheetData sheetId="5"/>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Reputacional</v>
          </cell>
        </row>
      </sheetData>
      <sheetData sheetId="2"/>
      <sheetData sheetId="3"/>
      <sheetData sheetId="4"/>
      <sheetData sheetId="5"/>
      <sheetData sheetId="6"/>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Económico</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J10">
            <v>0.2</v>
          </cell>
          <cell r="P10" t="str">
            <v>Alto</v>
          </cell>
        </row>
      </sheetData>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J10">
            <v>0.4</v>
          </cell>
        </row>
      </sheetData>
      <sheetData sheetId="2"/>
      <sheetData sheetId="3"/>
      <sheetData sheetId="4"/>
      <sheetData sheetId="5"/>
      <sheetData sheetId="6"/>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K10" t="str">
            <v>Mayor</v>
          </cell>
        </row>
      </sheetData>
      <sheetData sheetId="2"/>
      <sheetData sheetId="3"/>
      <sheetData sheetId="4"/>
      <sheetData sheetId="5"/>
      <sheetData sheetId="6"/>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Mayor</v>
          </cell>
        </row>
      </sheetData>
      <sheetData sheetId="2"/>
      <sheetData sheetId="3"/>
      <sheetData sheetId="4"/>
      <sheetData sheetId="5"/>
      <sheetData sheetId="6"/>
      <sheetData sheetId="7"/>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Catastrófico</v>
          </cell>
        </row>
      </sheetData>
      <sheetData sheetId="2"/>
      <sheetData sheetId="3"/>
      <sheetData sheetId="4"/>
      <sheetData sheetId="5"/>
      <sheetData sheetId="6"/>
      <sheetData sheetId="7"/>
      <sheetData sheetId="8"/>
      <sheetData sheetId="9"/>
      <sheetData sheetId="1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Catastrófico</v>
          </cell>
        </row>
      </sheetData>
      <sheetData sheetId="2"/>
      <sheetData sheetId="3"/>
      <sheetData sheetId="4"/>
      <sheetData sheetId="5"/>
      <sheetData sheetId="6"/>
      <sheetData sheetId="7"/>
      <sheetData sheetId="8"/>
      <sheetData sheetId="9"/>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Valoración controles"/>
    </sheetNames>
    <sheetDataSet>
      <sheetData sheetId="0" refreshError="1"/>
      <sheetData sheetId="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os generales"/>
      <sheetName val="Intructivo"/>
      <sheetName val="Tabla probabilidad"/>
      <sheetName val="Tabla Impacto"/>
      <sheetName val="Tabla Valoración controles"/>
      <sheetName val="Mapa final"/>
      <sheetName val="Matriz Calor Inherente"/>
      <sheetName val="Matriz Calor Residual"/>
      <sheetName val="CONTROL DE CAMBIOS"/>
      <sheetName val="Hoja4"/>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os generales"/>
      <sheetName val="Intructivo"/>
      <sheetName val="Tabla probabilidad"/>
      <sheetName val="Tabla Impacto"/>
      <sheetName val="Tabla Valoración controles"/>
      <sheetName val="Mapa final"/>
      <sheetName val="Matriz Calor Inherente"/>
      <sheetName val="Matriz Calor Residual"/>
      <sheetName val="CONTROL DE CAMBIOS"/>
      <sheetName val="Hoja4"/>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Criterior generales"/>
      <sheetName val="Hoja2"/>
      <sheetName val="Intructivo"/>
      <sheetName val="Mapa final"/>
      <sheetName val="Matriz Calor Inherente"/>
      <sheetName val="Matriz Calor Residual"/>
      <sheetName val="Tabla probabilidad"/>
      <sheetName val="Tabla Impacto"/>
      <sheetName val="Tabla Valoración controles"/>
      <sheetName val="CONTROL DE CAMBIOS"/>
      <sheetName val="Hoja3"/>
      <sheetName val="Hoja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M10" t="str">
            <v>Catastrófico</v>
          </cell>
        </row>
        <row r="13">
          <cell r="J13">
            <v>0.6</v>
          </cell>
          <cell r="P13" t="str">
            <v>Extremo</v>
          </cell>
        </row>
      </sheetData>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row r="10">
          <cell r="B10" t="str">
            <v>Económico y Reputacional</v>
          </cell>
          <cell r="D10" t="str">
            <v>Interes en favorecer a algún proveedor con el fin de obtener beneficio a nombre propio.</v>
          </cell>
          <cell r="E10" t="str">
            <v>Posibilidad de Sanciones de los Entes de inspección vigilancia y control por la Exclusion del giro a proveedores y contratistas para presionar y obtener algun beneficio personal.</v>
          </cell>
          <cell r="F10" t="str">
            <v>Usuarios, productos y practicas , organizacionales</v>
          </cell>
          <cell r="G10" t="str">
            <v>Tesorería</v>
          </cell>
          <cell r="H10">
            <v>10950</v>
          </cell>
          <cell r="I10" t="str">
            <v>Muy Alta</v>
          </cell>
          <cell r="J10">
            <v>1</v>
          </cell>
          <cell r="P10" t="str">
            <v>Extremo</v>
          </cell>
          <cell r="Q10">
            <v>1</v>
          </cell>
          <cell r="R10" t="str">
            <v xml:space="preserve">El tesorero mensualmente aplica lo establecido en el Procedimiento AF-PR-36 liquidación y Giro de Cuentas a fin de realizar la priorización de pagos, conforme a la llegada de las facturas y a los plazos de pago.
Resolución 048 de 2021 </v>
          </cell>
          <cell r="S10" t="str">
            <v>Probabilidad</v>
          </cell>
          <cell r="T10" t="str">
            <v>Preventivo</v>
          </cell>
          <cell r="U10" t="str">
            <v>Manual</v>
          </cell>
          <cell r="V10" t="str">
            <v>40%</v>
          </cell>
          <cell r="W10" t="str">
            <v>Documentado</v>
          </cell>
          <cell r="X10" t="str">
            <v>Continua</v>
          </cell>
          <cell r="Y10" t="str">
            <v>Con Registro</v>
          </cell>
          <cell r="Z10" t="str">
            <v>Informe segumiento plan financiero de cuentas por pagar.</v>
          </cell>
          <cell r="AA10">
            <v>0.6</v>
          </cell>
          <cell r="AB10" t="str">
            <v>Media</v>
          </cell>
          <cell r="AC10">
            <v>0.6</v>
          </cell>
          <cell r="AD10" t="str">
            <v>Catastrófico</v>
          </cell>
          <cell r="AE10">
            <v>1</v>
          </cell>
          <cell r="AF10" t="str">
            <v>Extremo</v>
          </cell>
          <cell r="AG10" t="str">
            <v>Reducir (mitigar)</v>
          </cell>
          <cell r="AH10" t="str">
            <v>Realizar seguimiento a la antigüedad de cuentas por pagar según lo definido en Procedimiento AF-PR-36 Liquidación y giro de cuentas</v>
          </cell>
          <cell r="AI10" t="str">
            <v>Tesoreria</v>
          </cell>
          <cell r="AJ10" t="str">
            <v>Enero a Diciembre de 2023</v>
          </cell>
          <cell r="AK10" t="str">
            <v>Cuatrimestral</v>
          </cell>
          <cell r="AL10" t="str">
            <v xml:space="preserve"> Informe segumiento de cuentas por pagar.</v>
          </cell>
          <cell r="AM10" t="str">
            <v>En curso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J10">
            <v>0.8</v>
          </cell>
          <cell r="P10" t="str">
            <v>Extremo</v>
          </cell>
        </row>
        <row r="13">
          <cell r="J13">
            <v>1</v>
          </cell>
          <cell r="P13" t="str">
            <v>Extremo</v>
          </cell>
        </row>
        <row r="16">
          <cell r="J16">
            <v>0.6</v>
          </cell>
          <cell r="P16" t="str">
            <v>Alto</v>
          </cell>
        </row>
      </sheetData>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Reputacional</v>
          </cell>
          <cell r="D10" t="str">
            <v>* Falta de compromiso e identidad del personal que labora en archivo central y de gestión, frente  a  la responsabilidad del manejo de la información.</v>
          </cell>
          <cell r="E10" t="str">
            <v xml:space="preserve"> Posibilidad de  Investigaciones y sanciones disciplinarias y punitivas por Utilización indebida y sustracción de la información física  por parte del personal de la entidad.</v>
          </cell>
          <cell r="F10" t="str">
            <v>Usuarios, productos y practicas , organizacionales</v>
          </cell>
          <cell r="G10" t="str">
            <v>Gestión Documental</v>
          </cell>
          <cell r="H10">
            <v>365</v>
          </cell>
          <cell r="I10" t="str">
            <v>Media</v>
          </cell>
          <cell r="J10">
            <v>0.6</v>
          </cell>
          <cell r="P10" t="str">
            <v>Extremo</v>
          </cell>
          <cell r="Q10">
            <v>1</v>
          </cell>
          <cell r="R10" t="str">
            <v>El grupo de Gestión Documental verifica la competencia y cumplimiento de los pasos a seguir, para consulta y préstamo de documentos mediante los Procedimientos GD-PR-13 consulta de documentos en archivos de gestión documental y  GD-PR-15 Préstamo de documentos en Archivos de Gestión y  realiza trazabilidad mediante los formatos GD- F-01 de control consulta y préstamos de documentos institucionales, y el Formato GD-F-20 Préstamo de Documentos en archivos de gestión</v>
          </cell>
          <cell r="S10" t="str">
            <v>Probabilidad</v>
          </cell>
          <cell r="T10" t="str">
            <v>Preventivo</v>
          </cell>
          <cell r="U10" t="str">
            <v>Manual</v>
          </cell>
          <cell r="V10" t="str">
            <v>40%</v>
          </cell>
          <cell r="W10" t="str">
            <v>Documentado</v>
          </cell>
          <cell r="X10" t="str">
            <v>Continua</v>
          </cell>
          <cell r="Y10" t="str">
            <v>Con Registro</v>
          </cell>
          <cell r="Z10" t="str">
            <v>Diligenciamiento del formato GD- F-01 de control consulta y préstamos de documentos de archivo
Informe mensual del lider del proceso de gestion documental.
Formato  Prestamo Documentos Archivo de Gestión GD-F-20</v>
          </cell>
          <cell r="AA10">
            <v>0.36</v>
          </cell>
          <cell r="AB10" t="str">
            <v>Baja</v>
          </cell>
          <cell r="AC10">
            <v>0.36</v>
          </cell>
          <cell r="AD10" t="str">
            <v>Catastrófico</v>
          </cell>
          <cell r="AE10">
            <v>1</v>
          </cell>
          <cell r="AF10" t="str">
            <v>Extremo</v>
          </cell>
          <cell r="AG10" t="str">
            <v>Extremo</v>
          </cell>
          <cell r="AH10" t="str">
            <v>Reducir (mitigar)</v>
          </cell>
          <cell r="AI10" t="str">
            <v>Verificar que se cumplan los tiempos estipulados para el prestamo de documentos</v>
          </cell>
          <cell r="AJ10" t="str">
            <v>Coordinador de Gestión Documental y Líder de Archivo de Historia Clínica</v>
          </cell>
          <cell r="AK10" t="str">
            <v>Enero a Diciembre de 2023</v>
          </cell>
          <cell r="AL10" t="str">
            <v>Cuatrimestral</v>
          </cell>
          <cell r="AM10" t="str">
            <v>Formato  Prestamo Documentos Archivo de Gestión GD-F-20
AHC-F-06 Registro Relación solicitud y entrega de copias de Historia Clínica</v>
          </cell>
          <cell r="AN10" t="str">
            <v>En curso</v>
          </cell>
        </row>
        <row r="11">
          <cell r="Q11">
            <v>2</v>
          </cell>
          <cell r="R11" t="str">
            <v>El personal de HC verifica la solicitud y ejecuta los pasos a seguir para el préstamo y consulta de historias clíncias mediante el procedimiento AHC-PR-04.</v>
          </cell>
          <cell r="S11" t="str">
            <v>Probabilidad</v>
          </cell>
          <cell r="T11" t="str">
            <v>Preventivo</v>
          </cell>
          <cell r="U11" t="str">
            <v>Manual</v>
          </cell>
          <cell r="V11" t="str">
            <v>40%</v>
          </cell>
          <cell r="W11" t="str">
            <v>Documentado</v>
          </cell>
          <cell r="X11" t="str">
            <v>continua</v>
          </cell>
          <cell r="Y11" t="str">
            <v>Con Registro</v>
          </cell>
          <cell r="Z11" t="str">
            <v xml:space="preserve">Diligenciamiento de formato AHC-F-06 Registro Relación solicitud y entrega de copias de Historia Clínica
</v>
          </cell>
          <cell r="AA11">
            <v>0.216</v>
          </cell>
          <cell r="AB11" t="str">
            <v>Baja</v>
          </cell>
          <cell r="AC11">
            <v>0.216</v>
          </cell>
          <cell r="AD11" t="str">
            <v>Catastrófico</v>
          </cell>
          <cell r="AE11">
            <v>1</v>
          </cell>
          <cell r="AF11" t="str">
            <v>Extremo</v>
          </cell>
        </row>
      </sheetData>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Económico</v>
          </cell>
          <cell r="D10" t="str">
            <v>No seguimiento  efectivo de los procesos  judiciales</v>
          </cell>
          <cell r="E10" t="str">
            <v xml:space="preserve">Posibilidad de providencias en contra de la institución, por inefectivo seguimiento a procesos judiciales o favorecimiento a la parte demandante al ejercer una defensa judicial  </v>
          </cell>
          <cell r="F10" t="str">
            <v>Ejecucion y Administracion de procesos</v>
          </cell>
          <cell r="G10" t="str">
            <v xml:space="preserve">Gestión Jurídica </v>
          </cell>
          <cell r="H10">
            <v>24</v>
          </cell>
          <cell r="I10" t="str">
            <v>Baja</v>
          </cell>
          <cell r="J10">
            <v>0.4</v>
          </cell>
          <cell r="P10" t="str">
            <v>Alto</v>
          </cell>
          <cell r="Q10">
            <v>1</v>
          </cell>
          <cell r="R10" t="str">
            <v>Los abogados de la oficina jurídica realizan seguimiento diario a los procesos judiciales frente a términos para defensa técnica y a la trazabilidad de los mismos conforme a lo establecido en el procedimiento OAJ-PR-05 Mediante matriz general de proceso OAJ-F-18</v>
          </cell>
          <cell r="S10" t="str">
            <v>Probabilidad</v>
          </cell>
          <cell r="T10" t="str">
            <v>Preventivo</v>
          </cell>
          <cell r="U10" t="str">
            <v>Manual</v>
          </cell>
          <cell r="V10" t="str">
            <v>40%</v>
          </cell>
          <cell r="W10" t="str">
            <v>Documentado</v>
          </cell>
          <cell r="X10" t="str">
            <v>Continua</v>
          </cell>
          <cell r="Y10" t="str">
            <v>Con Registro</v>
          </cell>
          <cell r="Z10" t="str">
            <v xml:space="preserve">OAJ-F-18 Matriz General de procesos, Informe trimestral al Comité de Conciliación por parte de la secretario técnica
 </v>
          </cell>
          <cell r="AA10">
            <v>0.24</v>
          </cell>
          <cell r="AB10" t="str">
            <v>Baja</v>
          </cell>
          <cell r="AC10">
            <v>0.24</v>
          </cell>
          <cell r="AD10" t="str">
            <v>Mayor</v>
          </cell>
          <cell r="AE10">
            <v>0.8</v>
          </cell>
          <cell r="AF10" t="str">
            <v>Alto</v>
          </cell>
          <cell r="AG10" t="str">
            <v>Reducir (mitigar)</v>
          </cell>
          <cell r="AH10" t="str">
            <v xml:space="preserve"> Realizar seguimiento al cumplimiento de los términos judiciales de acuerdo a la defensa técnica de la institución teniendo en cuenta la trazabilidad de procesos y las actividades programadas dentro de los mismos.</v>
          </cell>
          <cell r="AI10" t="str">
            <v>Asesor Jurídico</v>
          </cell>
          <cell r="AJ10" t="str">
            <v>Enero a diciembre 2023</v>
          </cell>
          <cell r="AK10" t="str">
            <v>Cuatrimestral</v>
          </cell>
          <cell r="AL10" t="str">
            <v>OAJ-F-18 Matriz general de procesos</v>
          </cell>
          <cell r="AM10" t="str">
            <v>En curso</v>
          </cell>
        </row>
      </sheetData>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J10">
            <v>0.4</v>
          </cell>
          <cell r="P10" t="str">
            <v>Alto</v>
          </cell>
        </row>
      </sheetData>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Mayor</v>
          </cell>
          <cell r="P10" t="str">
            <v>Alto</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5"/>
  <sheetViews>
    <sheetView topLeftCell="B1" workbookViewId="0">
      <selection activeCell="B3" sqref="B3"/>
    </sheetView>
  </sheetViews>
  <sheetFormatPr baseColWidth="10" defaultRowHeight="15" x14ac:dyDescent="0.25"/>
  <cols>
    <col min="2" max="2" width="32.140625" customWidth="1"/>
    <col min="3" max="3" width="82" customWidth="1"/>
    <col min="5" max="5" width="62.7109375" customWidth="1"/>
  </cols>
  <sheetData>
    <row r="2" spans="2:6" x14ac:dyDescent="0.25">
      <c r="B2" s="218" t="s">
        <v>210</v>
      </c>
      <c r="C2" s="218"/>
      <c r="E2" t="s">
        <v>216</v>
      </c>
    </row>
    <row r="3" spans="2:6" ht="240" x14ac:dyDescent="0.25">
      <c r="B3" s="118" t="s">
        <v>208</v>
      </c>
      <c r="C3" s="118" t="s">
        <v>207</v>
      </c>
      <c r="D3" s="117"/>
      <c r="E3" s="115"/>
      <c r="F3" s="115"/>
    </row>
    <row r="4" spans="2:6" x14ac:dyDescent="0.25">
      <c r="B4" s="219" t="s">
        <v>209</v>
      </c>
      <c r="C4" s="219"/>
      <c r="D4" s="115"/>
      <c r="E4" s="115" t="s">
        <v>217</v>
      </c>
      <c r="F4" s="115"/>
    </row>
    <row r="5" spans="2:6" ht="320.25" customHeight="1" x14ac:dyDescent="0.25">
      <c r="B5" s="116" t="s">
        <v>211</v>
      </c>
      <c r="C5" s="116" t="s">
        <v>212</v>
      </c>
      <c r="D5" s="115"/>
      <c r="E5" s="116" t="s">
        <v>218</v>
      </c>
      <c r="F5" s="115"/>
    </row>
    <row r="6" spans="2:6" ht="21.75" customHeight="1" x14ac:dyDescent="0.25">
      <c r="B6" s="220" t="s">
        <v>213</v>
      </c>
      <c r="C6" s="221"/>
      <c r="D6" s="115"/>
      <c r="E6" s="115"/>
      <c r="F6" s="115"/>
    </row>
    <row r="7" spans="2:6" ht="338.25" customHeight="1" x14ac:dyDescent="0.25">
      <c r="B7" s="116" t="s">
        <v>214</v>
      </c>
      <c r="C7" s="116" t="s">
        <v>215</v>
      </c>
      <c r="D7" s="115"/>
      <c r="E7" s="115"/>
      <c r="F7" s="115"/>
    </row>
    <row r="8" spans="2:6" x14ac:dyDescent="0.25">
      <c r="B8" s="115"/>
      <c r="C8" s="115"/>
      <c r="D8" s="115"/>
      <c r="E8" s="115"/>
      <c r="F8" s="115"/>
    </row>
    <row r="9" spans="2:6" x14ac:dyDescent="0.25">
      <c r="B9" s="115"/>
      <c r="C9" s="115"/>
      <c r="D9" s="115"/>
      <c r="E9" s="115"/>
      <c r="F9" s="115"/>
    </row>
    <row r="10" spans="2:6" x14ac:dyDescent="0.25">
      <c r="B10" s="115"/>
      <c r="C10" s="115"/>
      <c r="D10" s="115"/>
      <c r="E10" s="115"/>
      <c r="F10" s="115"/>
    </row>
    <row r="11" spans="2:6" x14ac:dyDescent="0.25">
      <c r="B11" s="115"/>
      <c r="C11" s="115"/>
      <c r="D11" s="115"/>
      <c r="E11" s="115"/>
      <c r="F11" s="115"/>
    </row>
    <row r="12" spans="2:6" x14ac:dyDescent="0.25">
      <c r="B12" s="115"/>
      <c r="C12" s="115"/>
      <c r="D12" s="115"/>
      <c r="E12" s="115"/>
      <c r="F12" s="115"/>
    </row>
    <row r="13" spans="2:6" x14ac:dyDescent="0.25">
      <c r="B13" s="115"/>
      <c r="C13" s="115"/>
      <c r="D13" s="115"/>
      <c r="E13" s="115"/>
      <c r="F13" s="115"/>
    </row>
    <row r="14" spans="2:6" x14ac:dyDescent="0.25">
      <c r="B14" s="115"/>
      <c r="C14" s="115"/>
      <c r="D14" s="115"/>
      <c r="E14" s="115"/>
      <c r="F14" s="115"/>
    </row>
    <row r="15" spans="2:6" x14ac:dyDescent="0.25">
      <c r="B15" s="115"/>
      <c r="C15" s="115"/>
      <c r="D15" s="115"/>
      <c r="E15" s="115"/>
      <c r="F15" s="115"/>
    </row>
  </sheetData>
  <mergeCells count="3">
    <mergeCell ref="B2:C2"/>
    <mergeCell ref="B4:C4"/>
    <mergeCell ref="B6:C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B2:E19"/>
  <sheetViews>
    <sheetView topLeftCell="A4" workbookViewId="0">
      <selection activeCell="B13" sqref="B13:B19"/>
    </sheetView>
  </sheetViews>
  <sheetFormatPr baseColWidth="10" defaultRowHeight="15" x14ac:dyDescent="0.25"/>
  <sheetData>
    <row r="2" spans="2:5" x14ac:dyDescent="0.25">
      <c r="B2" t="s">
        <v>29</v>
      </c>
      <c r="E2" t="s">
        <v>98</v>
      </c>
    </row>
    <row r="3" spans="2:5" x14ac:dyDescent="0.25">
      <c r="B3" t="s">
        <v>30</v>
      </c>
      <c r="E3" t="s">
        <v>97</v>
      </c>
    </row>
    <row r="4" spans="2:5" x14ac:dyDescent="0.25">
      <c r="B4" t="s">
        <v>102</v>
      </c>
      <c r="E4" t="s">
        <v>99</v>
      </c>
    </row>
    <row r="5" spans="2:5" x14ac:dyDescent="0.25">
      <c r="B5" t="s">
        <v>101</v>
      </c>
    </row>
    <row r="8" spans="2:5" x14ac:dyDescent="0.25">
      <c r="B8" t="s">
        <v>68</v>
      </c>
    </row>
    <row r="9" spans="2:5" x14ac:dyDescent="0.25">
      <c r="B9" t="s">
        <v>37</v>
      </c>
    </row>
    <row r="10" spans="2:5" x14ac:dyDescent="0.25">
      <c r="B10" t="s">
        <v>38</v>
      </c>
    </row>
    <row r="13" spans="2:5" x14ac:dyDescent="0.25">
      <c r="B13" t="s">
        <v>96</v>
      </c>
    </row>
    <row r="14" spans="2:5" x14ac:dyDescent="0.25">
      <c r="B14" t="s">
        <v>90</v>
      </c>
    </row>
    <row r="15" spans="2:5" x14ac:dyDescent="0.25">
      <c r="B15" t="s">
        <v>93</v>
      </c>
    </row>
    <row r="16" spans="2:5" x14ac:dyDescent="0.25">
      <c r="B16" t="s">
        <v>91</v>
      </c>
    </row>
    <row r="17" spans="2:2" x14ac:dyDescent="0.25">
      <c r="B17" t="s">
        <v>92</v>
      </c>
    </row>
    <row r="18" spans="2:2" x14ac:dyDescent="0.25">
      <c r="B18" t="s">
        <v>94</v>
      </c>
    </row>
    <row r="19" spans="2:2" x14ac:dyDescent="0.25">
      <c r="B19" t="s">
        <v>95</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12</v>
      </c>
    </row>
    <row r="4" spans="1:1" x14ac:dyDescent="0.2">
      <c r="A4" s="2" t="s">
        <v>13</v>
      </c>
    </row>
    <row r="5" spans="1:1" x14ac:dyDescent="0.2">
      <c r="A5" s="2" t="s">
        <v>14</v>
      </c>
    </row>
    <row r="6" spans="1:1" x14ac:dyDescent="0.2">
      <c r="A6" s="2" t="s">
        <v>8</v>
      </c>
    </row>
    <row r="7" spans="1:1" x14ac:dyDescent="0.2">
      <c r="A7" s="2" t="s">
        <v>7</v>
      </c>
    </row>
    <row r="8" spans="1:1" x14ac:dyDescent="0.2">
      <c r="A8" s="2" t="s">
        <v>17</v>
      </c>
    </row>
    <row r="9" spans="1:1" x14ac:dyDescent="0.2">
      <c r="A9" s="2" t="s">
        <v>18</v>
      </c>
    </row>
    <row r="10" spans="1:1" x14ac:dyDescent="0.2">
      <c r="A10" s="2" t="s">
        <v>20</v>
      </c>
    </row>
    <row r="11" spans="1:1" x14ac:dyDescent="0.2">
      <c r="A11" s="2" t="s">
        <v>21</v>
      </c>
    </row>
    <row r="12" spans="1:1" x14ac:dyDescent="0.2">
      <c r="A12" s="2" t="s">
        <v>23</v>
      </c>
    </row>
    <row r="13" spans="1:1" x14ac:dyDescent="0.2">
      <c r="A13" s="2" t="s">
        <v>24</v>
      </c>
    </row>
    <row r="14" spans="1:1" x14ac:dyDescent="0.2">
      <c r="A14" s="2" t="s">
        <v>25</v>
      </c>
    </row>
    <row r="16" spans="1:1" x14ac:dyDescent="0.2">
      <c r="A16" s="2" t="s">
        <v>28</v>
      </c>
    </row>
    <row r="17" spans="1:1" x14ac:dyDescent="0.2">
      <c r="A17" s="2" t="s">
        <v>29</v>
      </c>
    </row>
    <row r="18" spans="1:1" x14ac:dyDescent="0.2">
      <c r="A18" s="2" t="s">
        <v>30</v>
      </c>
    </row>
    <row r="20" spans="1:1" x14ac:dyDescent="0.2">
      <c r="A20" s="2" t="s">
        <v>37</v>
      </c>
    </row>
    <row r="21" spans="1:1" x14ac:dyDescent="0.2">
      <c r="A21" s="2"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2B757-200C-415E-8CB3-792E24A31660}">
  <dimension ref="B1:H45"/>
  <sheetViews>
    <sheetView topLeftCell="A23" zoomScale="110" zoomScaleNormal="110" workbookViewId="0">
      <selection activeCell="B7" sqref="B7:H7"/>
    </sheetView>
  </sheetViews>
  <sheetFormatPr baseColWidth="10" defaultColWidth="11.42578125" defaultRowHeight="15" x14ac:dyDescent="0.25"/>
  <cols>
    <col min="1" max="1" width="2.85546875" style="18" customWidth="1"/>
    <col min="2" max="3" width="24.7109375" style="18" customWidth="1"/>
    <col min="4" max="4" width="16" style="18" customWidth="1"/>
    <col min="5" max="5" width="24.7109375" style="18" customWidth="1"/>
    <col min="6" max="6" width="27.7109375" style="18" customWidth="1"/>
    <col min="7" max="8" width="24.7109375" style="18" customWidth="1"/>
    <col min="9" max="16384" width="11.42578125" style="18"/>
  </cols>
  <sheetData>
    <row r="1" spans="2:8" ht="15.75" thickBot="1" x14ac:dyDescent="0.3"/>
    <row r="2" spans="2:8" ht="18" x14ac:dyDescent="0.25">
      <c r="B2" s="243" t="s">
        <v>114</v>
      </c>
      <c r="C2" s="244"/>
      <c r="D2" s="244"/>
      <c r="E2" s="244"/>
      <c r="F2" s="244"/>
      <c r="G2" s="244"/>
      <c r="H2" s="245"/>
    </row>
    <row r="3" spans="2:8" x14ac:dyDescent="0.25">
      <c r="B3" s="19"/>
      <c r="C3" s="20"/>
      <c r="D3" s="20"/>
      <c r="E3" s="20"/>
      <c r="F3" s="20"/>
      <c r="G3" s="20"/>
      <c r="H3" s="21"/>
    </row>
    <row r="4" spans="2:8" ht="63" customHeight="1" x14ac:dyDescent="0.25">
      <c r="B4" s="246" t="s">
        <v>150</v>
      </c>
      <c r="C4" s="247"/>
      <c r="D4" s="247"/>
      <c r="E4" s="247"/>
      <c r="F4" s="247"/>
      <c r="G4" s="247"/>
      <c r="H4" s="248"/>
    </row>
    <row r="5" spans="2:8" ht="63" customHeight="1" x14ac:dyDescent="0.25">
      <c r="B5" s="249"/>
      <c r="C5" s="250"/>
      <c r="D5" s="250"/>
      <c r="E5" s="250"/>
      <c r="F5" s="250"/>
      <c r="G5" s="250"/>
      <c r="H5" s="251"/>
    </row>
    <row r="6" spans="2:8" ht="16.5" x14ac:dyDescent="0.25">
      <c r="B6" s="252" t="s">
        <v>112</v>
      </c>
      <c r="C6" s="253"/>
      <c r="D6" s="253"/>
      <c r="E6" s="253"/>
      <c r="F6" s="253"/>
      <c r="G6" s="253"/>
      <c r="H6" s="254"/>
    </row>
    <row r="7" spans="2:8" ht="95.25" customHeight="1" x14ac:dyDescent="0.25">
      <c r="B7" s="255" t="s">
        <v>115</v>
      </c>
      <c r="C7" s="256"/>
      <c r="D7" s="256"/>
      <c r="E7" s="256"/>
      <c r="F7" s="256"/>
      <c r="G7" s="256"/>
      <c r="H7" s="257"/>
    </row>
    <row r="8" spans="2:8" ht="16.5" x14ac:dyDescent="0.25">
      <c r="B8" s="51"/>
      <c r="C8" s="52"/>
      <c r="D8" s="52"/>
      <c r="E8" s="52"/>
      <c r="F8" s="52"/>
      <c r="G8" s="52"/>
      <c r="H8" s="53"/>
    </row>
    <row r="9" spans="2:8" ht="16.5" customHeight="1" x14ac:dyDescent="0.25">
      <c r="B9" s="258" t="s">
        <v>143</v>
      </c>
      <c r="C9" s="259"/>
      <c r="D9" s="259"/>
      <c r="E9" s="259"/>
      <c r="F9" s="259"/>
      <c r="G9" s="259"/>
      <c r="H9" s="260"/>
    </row>
    <row r="10" spans="2:8" ht="44.25" customHeight="1" x14ac:dyDescent="0.25">
      <c r="B10" s="258"/>
      <c r="C10" s="259"/>
      <c r="D10" s="259"/>
      <c r="E10" s="259"/>
      <c r="F10" s="259"/>
      <c r="G10" s="259"/>
      <c r="H10" s="260"/>
    </row>
    <row r="11" spans="2:8" ht="15.75" thickBot="1" x14ac:dyDescent="0.3">
      <c r="B11" s="40"/>
      <c r="C11" s="43"/>
      <c r="D11" s="48"/>
      <c r="E11" s="49"/>
      <c r="F11" s="49"/>
      <c r="G11" s="50"/>
      <c r="H11" s="44"/>
    </row>
    <row r="12" spans="2:8" ht="15.75" thickTop="1" x14ac:dyDescent="0.25">
      <c r="B12" s="40"/>
      <c r="C12" s="261" t="s">
        <v>113</v>
      </c>
      <c r="D12" s="262"/>
      <c r="E12" s="263" t="s">
        <v>144</v>
      </c>
      <c r="F12" s="264"/>
      <c r="G12" s="43"/>
      <c r="H12" s="44"/>
    </row>
    <row r="13" spans="2:8" ht="69.75" customHeight="1" x14ac:dyDescent="0.25">
      <c r="B13" s="40"/>
      <c r="C13" s="237" t="s">
        <v>482</v>
      </c>
      <c r="D13" s="238"/>
      <c r="E13" s="239" t="s">
        <v>483</v>
      </c>
      <c r="F13" s="240"/>
      <c r="G13" s="43"/>
      <c r="H13" s="44"/>
    </row>
    <row r="14" spans="2:8" ht="40.5" customHeight="1" x14ac:dyDescent="0.25">
      <c r="B14" s="40"/>
      <c r="C14" s="241" t="s">
        <v>358</v>
      </c>
      <c r="D14" s="242"/>
      <c r="E14" s="233" t="s">
        <v>484</v>
      </c>
      <c r="F14" s="234"/>
      <c r="G14" s="43"/>
      <c r="H14" s="44"/>
    </row>
    <row r="15" spans="2:8" ht="34.5" customHeight="1" x14ac:dyDescent="0.25">
      <c r="B15" s="40"/>
      <c r="C15" s="235" t="s">
        <v>1</v>
      </c>
      <c r="D15" s="236"/>
      <c r="E15" s="231" t="s">
        <v>151</v>
      </c>
      <c r="F15" s="232"/>
      <c r="G15" s="43"/>
      <c r="H15" s="44"/>
    </row>
    <row r="16" spans="2:8" ht="28.5" customHeight="1" x14ac:dyDescent="0.25">
      <c r="B16" s="40"/>
      <c r="C16" s="235" t="s">
        <v>39</v>
      </c>
      <c r="D16" s="236"/>
      <c r="E16" s="231" t="s">
        <v>152</v>
      </c>
      <c r="F16" s="232"/>
      <c r="G16" s="43"/>
      <c r="H16" s="44"/>
    </row>
    <row r="17" spans="2:8" ht="72.75" customHeight="1" x14ac:dyDescent="0.25">
      <c r="B17" s="40"/>
      <c r="C17" s="235" t="s">
        <v>0</v>
      </c>
      <c r="D17" s="236"/>
      <c r="E17" s="231" t="s">
        <v>153</v>
      </c>
      <c r="F17" s="232"/>
      <c r="G17" s="43"/>
      <c r="H17" s="44"/>
    </row>
    <row r="18" spans="2:8" ht="64.5" customHeight="1" x14ac:dyDescent="0.25">
      <c r="B18" s="40"/>
      <c r="C18" s="235" t="s">
        <v>43</v>
      </c>
      <c r="D18" s="236"/>
      <c r="E18" s="231" t="s">
        <v>117</v>
      </c>
      <c r="F18" s="232"/>
      <c r="G18" s="43"/>
      <c r="H18" s="44"/>
    </row>
    <row r="19" spans="2:8" ht="39.75" customHeight="1" x14ac:dyDescent="0.25">
      <c r="B19" s="40"/>
      <c r="C19" s="229" t="s">
        <v>203</v>
      </c>
      <c r="D19" s="230"/>
      <c r="E19" s="233" t="s">
        <v>485</v>
      </c>
      <c r="F19" s="234"/>
      <c r="G19" s="43"/>
      <c r="H19" s="44"/>
    </row>
    <row r="20" spans="2:8" ht="39.75" customHeight="1" x14ac:dyDescent="0.25">
      <c r="B20" s="40"/>
      <c r="C20" s="216" t="s">
        <v>336</v>
      </c>
      <c r="D20" s="217"/>
      <c r="E20" s="233" t="s">
        <v>486</v>
      </c>
      <c r="F20" s="234"/>
      <c r="G20" s="43"/>
      <c r="H20" s="44"/>
    </row>
    <row r="21" spans="2:8" ht="71.25" customHeight="1" x14ac:dyDescent="0.25">
      <c r="B21" s="40"/>
      <c r="C21" s="235" t="s">
        <v>116</v>
      </c>
      <c r="D21" s="236"/>
      <c r="E21" s="231" t="s">
        <v>118</v>
      </c>
      <c r="F21" s="232"/>
      <c r="G21" s="43"/>
      <c r="H21" s="44"/>
    </row>
    <row r="22" spans="2:8" ht="39.75" customHeight="1" x14ac:dyDescent="0.25">
      <c r="B22" s="40"/>
      <c r="C22" s="229" t="s">
        <v>31</v>
      </c>
      <c r="D22" s="230"/>
      <c r="E22" s="233" t="s">
        <v>487</v>
      </c>
      <c r="F22" s="234"/>
      <c r="G22" s="43"/>
      <c r="H22" s="44"/>
    </row>
    <row r="23" spans="2:8" ht="55.5" customHeight="1" x14ac:dyDescent="0.25">
      <c r="B23" s="40"/>
      <c r="C23" s="229" t="s">
        <v>119</v>
      </c>
      <c r="D23" s="230"/>
      <c r="E23" s="231" t="s">
        <v>120</v>
      </c>
      <c r="F23" s="232"/>
      <c r="G23" s="43"/>
      <c r="H23" s="44"/>
    </row>
    <row r="24" spans="2:8" ht="42" customHeight="1" x14ac:dyDescent="0.25">
      <c r="B24" s="40"/>
      <c r="C24" s="229" t="s">
        <v>42</v>
      </c>
      <c r="D24" s="230"/>
      <c r="E24" s="231" t="s">
        <v>121</v>
      </c>
      <c r="F24" s="232"/>
      <c r="G24" s="43"/>
      <c r="H24" s="44"/>
    </row>
    <row r="25" spans="2:8" ht="59.25" customHeight="1" x14ac:dyDescent="0.25">
      <c r="B25" s="40"/>
      <c r="C25" s="229" t="s">
        <v>111</v>
      </c>
      <c r="D25" s="230"/>
      <c r="E25" s="231" t="s">
        <v>122</v>
      </c>
      <c r="F25" s="232"/>
      <c r="G25" s="43"/>
      <c r="H25" s="44"/>
    </row>
    <row r="26" spans="2:8" ht="23.25" customHeight="1" x14ac:dyDescent="0.25">
      <c r="B26" s="40"/>
      <c r="C26" s="229" t="s">
        <v>10</v>
      </c>
      <c r="D26" s="230"/>
      <c r="E26" s="231" t="s">
        <v>123</v>
      </c>
      <c r="F26" s="232"/>
      <c r="G26" s="43"/>
      <c r="H26" s="44"/>
    </row>
    <row r="27" spans="2:8" ht="30.75" customHeight="1" x14ac:dyDescent="0.25">
      <c r="B27" s="40"/>
      <c r="C27" s="229" t="s">
        <v>127</v>
      </c>
      <c r="D27" s="230"/>
      <c r="E27" s="231" t="s">
        <v>124</v>
      </c>
      <c r="F27" s="232"/>
      <c r="G27" s="43"/>
      <c r="H27" s="44"/>
    </row>
    <row r="28" spans="2:8" ht="35.25" customHeight="1" x14ac:dyDescent="0.25">
      <c r="B28" s="40"/>
      <c r="C28" s="229" t="s">
        <v>128</v>
      </c>
      <c r="D28" s="230"/>
      <c r="E28" s="231" t="s">
        <v>125</v>
      </c>
      <c r="F28" s="232"/>
      <c r="G28" s="43"/>
      <c r="H28" s="44"/>
    </row>
    <row r="29" spans="2:8" ht="33" customHeight="1" x14ac:dyDescent="0.25">
      <c r="B29" s="40"/>
      <c r="C29" s="229" t="s">
        <v>128</v>
      </c>
      <c r="D29" s="230"/>
      <c r="E29" s="231" t="s">
        <v>125</v>
      </c>
      <c r="F29" s="232"/>
      <c r="G29" s="43"/>
      <c r="H29" s="44"/>
    </row>
    <row r="30" spans="2:8" ht="30" customHeight="1" x14ac:dyDescent="0.25">
      <c r="B30" s="40"/>
      <c r="C30" s="229" t="s">
        <v>129</v>
      </c>
      <c r="D30" s="230"/>
      <c r="E30" s="231" t="s">
        <v>126</v>
      </c>
      <c r="F30" s="232"/>
      <c r="G30" s="43"/>
      <c r="H30" s="44"/>
    </row>
    <row r="31" spans="2:8" ht="35.25" customHeight="1" x14ac:dyDescent="0.25">
      <c r="B31" s="40"/>
      <c r="C31" s="229" t="s">
        <v>130</v>
      </c>
      <c r="D31" s="230"/>
      <c r="E31" s="231" t="s">
        <v>131</v>
      </c>
      <c r="F31" s="232"/>
      <c r="G31" s="43"/>
      <c r="H31" s="44"/>
    </row>
    <row r="32" spans="2:8" ht="31.5" customHeight="1" x14ac:dyDescent="0.25">
      <c r="B32" s="40"/>
      <c r="C32" s="229" t="s">
        <v>132</v>
      </c>
      <c r="D32" s="230"/>
      <c r="E32" s="231" t="s">
        <v>133</v>
      </c>
      <c r="F32" s="232"/>
      <c r="G32" s="43"/>
      <c r="H32" s="44"/>
    </row>
    <row r="33" spans="2:8" ht="35.25" customHeight="1" x14ac:dyDescent="0.25">
      <c r="B33" s="40"/>
      <c r="C33" s="229" t="s">
        <v>134</v>
      </c>
      <c r="D33" s="230"/>
      <c r="E33" s="231" t="s">
        <v>135</v>
      </c>
      <c r="F33" s="232"/>
      <c r="G33" s="43"/>
      <c r="H33" s="44"/>
    </row>
    <row r="34" spans="2:8" ht="59.25" customHeight="1" x14ac:dyDescent="0.25">
      <c r="B34" s="40"/>
      <c r="C34" s="229" t="s">
        <v>136</v>
      </c>
      <c r="D34" s="230"/>
      <c r="E34" s="231" t="s">
        <v>137</v>
      </c>
      <c r="F34" s="232"/>
      <c r="G34" s="43"/>
      <c r="H34" s="44"/>
    </row>
    <row r="35" spans="2:8" ht="29.25" customHeight="1" x14ac:dyDescent="0.25">
      <c r="B35" s="40"/>
      <c r="C35" s="229" t="s">
        <v>27</v>
      </c>
      <c r="D35" s="230"/>
      <c r="E35" s="231" t="s">
        <v>138</v>
      </c>
      <c r="F35" s="232"/>
      <c r="G35" s="43"/>
      <c r="H35" s="44"/>
    </row>
    <row r="36" spans="2:8" ht="82.5" customHeight="1" x14ac:dyDescent="0.25">
      <c r="B36" s="40"/>
      <c r="C36" s="229" t="s">
        <v>140</v>
      </c>
      <c r="D36" s="230"/>
      <c r="E36" s="231" t="s">
        <v>139</v>
      </c>
      <c r="F36" s="232"/>
      <c r="G36" s="43"/>
      <c r="H36" s="44"/>
    </row>
    <row r="37" spans="2:8" ht="46.5" customHeight="1" x14ac:dyDescent="0.25">
      <c r="B37" s="40"/>
      <c r="C37" s="229" t="s">
        <v>36</v>
      </c>
      <c r="D37" s="230"/>
      <c r="E37" s="231" t="s">
        <v>141</v>
      </c>
      <c r="F37" s="232"/>
      <c r="G37" s="43"/>
      <c r="H37" s="44"/>
    </row>
    <row r="38" spans="2:8" ht="6.75" customHeight="1" thickBot="1" x14ac:dyDescent="0.3">
      <c r="B38" s="40"/>
      <c r="C38" s="225"/>
      <c r="D38" s="226"/>
      <c r="E38" s="227"/>
      <c r="F38" s="228"/>
      <c r="G38" s="43"/>
      <c r="H38" s="44"/>
    </row>
    <row r="39" spans="2:8" ht="15.75" thickTop="1" x14ac:dyDescent="0.25">
      <c r="B39" s="40"/>
      <c r="C39" s="41"/>
      <c r="D39" s="41"/>
      <c r="E39" s="42"/>
      <c r="F39" s="42"/>
      <c r="G39" s="43"/>
      <c r="H39" s="44"/>
    </row>
    <row r="40" spans="2:8" ht="21" customHeight="1" x14ac:dyDescent="0.25">
      <c r="B40" s="222" t="s">
        <v>145</v>
      </c>
      <c r="C40" s="223"/>
      <c r="D40" s="223"/>
      <c r="E40" s="223"/>
      <c r="F40" s="223"/>
      <c r="G40" s="223"/>
      <c r="H40" s="224"/>
    </row>
    <row r="41" spans="2:8" ht="20.25" customHeight="1" x14ac:dyDescent="0.25">
      <c r="B41" s="222" t="s">
        <v>146</v>
      </c>
      <c r="C41" s="223"/>
      <c r="D41" s="223"/>
      <c r="E41" s="223"/>
      <c r="F41" s="223"/>
      <c r="G41" s="223"/>
      <c r="H41" s="224"/>
    </row>
    <row r="42" spans="2:8" ht="20.25" customHeight="1" x14ac:dyDescent="0.25">
      <c r="B42" s="222" t="s">
        <v>147</v>
      </c>
      <c r="C42" s="223"/>
      <c r="D42" s="223"/>
      <c r="E42" s="223"/>
      <c r="F42" s="223"/>
      <c r="G42" s="223"/>
      <c r="H42" s="224"/>
    </row>
    <row r="43" spans="2:8" ht="20.25" customHeight="1" x14ac:dyDescent="0.25">
      <c r="B43" s="222" t="s">
        <v>148</v>
      </c>
      <c r="C43" s="223"/>
      <c r="D43" s="223"/>
      <c r="E43" s="223"/>
      <c r="F43" s="223"/>
      <c r="G43" s="223"/>
      <c r="H43" s="224"/>
    </row>
    <row r="44" spans="2:8" ht="15" customHeight="1" x14ac:dyDescent="0.25">
      <c r="B44" s="222" t="s">
        <v>149</v>
      </c>
      <c r="C44" s="223"/>
      <c r="D44" s="223"/>
      <c r="E44" s="223"/>
      <c r="F44" s="223"/>
      <c r="G44" s="223"/>
      <c r="H44" s="224"/>
    </row>
    <row r="45" spans="2:8" ht="15.75" thickBot="1" x14ac:dyDescent="0.3">
      <c r="B45" s="45"/>
      <c r="C45" s="46"/>
      <c r="D45" s="46"/>
      <c r="E45" s="46"/>
      <c r="F45" s="46"/>
      <c r="G45" s="46"/>
      <c r="H45" s="47"/>
    </row>
  </sheetData>
  <mergeCells count="63">
    <mergeCell ref="C12:D12"/>
    <mergeCell ref="E12:F12"/>
    <mergeCell ref="B2:H2"/>
    <mergeCell ref="B4:H5"/>
    <mergeCell ref="B6:H6"/>
    <mergeCell ref="B7:H7"/>
    <mergeCell ref="B9:H10"/>
    <mergeCell ref="C13:D13"/>
    <mergeCell ref="E13:F13"/>
    <mergeCell ref="C14:D14"/>
    <mergeCell ref="E14:F14"/>
    <mergeCell ref="C15:D15"/>
    <mergeCell ref="E15:F15"/>
    <mergeCell ref="C22:D22"/>
    <mergeCell ref="E22:F22"/>
    <mergeCell ref="C16:D16"/>
    <mergeCell ref="E16:F16"/>
    <mergeCell ref="C17:D17"/>
    <mergeCell ref="E17:F17"/>
    <mergeCell ref="C18:D18"/>
    <mergeCell ref="E18:F18"/>
    <mergeCell ref="C19:D19"/>
    <mergeCell ref="E19:F19"/>
    <mergeCell ref="E20:F20"/>
    <mergeCell ref="C21:D21"/>
    <mergeCell ref="E21:F21"/>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B44:H44"/>
    <mergeCell ref="C38:D38"/>
    <mergeCell ref="E38:F38"/>
    <mergeCell ref="B40:H40"/>
    <mergeCell ref="B41:H41"/>
    <mergeCell ref="B42:H42"/>
    <mergeCell ref="B43:H4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filterMode="1">
    <tabColor rgb="FF002060"/>
  </sheetPr>
  <dimension ref="A2:BT50"/>
  <sheetViews>
    <sheetView tabSelected="1" zoomScale="60" zoomScaleNormal="60" workbookViewId="0">
      <selection activeCell="M9" sqref="M9:M10"/>
    </sheetView>
  </sheetViews>
  <sheetFormatPr baseColWidth="10" defaultColWidth="11.42578125" defaultRowHeight="12.75" x14ac:dyDescent="0.2"/>
  <cols>
    <col min="1" max="1" width="25.5703125" style="57" customWidth="1"/>
    <col min="2" max="2" width="10" style="62" customWidth="1"/>
    <col min="3" max="3" width="19.5703125" style="201" customWidth="1"/>
    <col min="4" max="4" width="14.140625" style="62" customWidth="1"/>
    <col min="5" max="5" width="26.42578125" style="62" customWidth="1"/>
    <col min="6" max="6" width="29.28515625" style="56" customWidth="1"/>
    <col min="7" max="7" width="16.42578125" style="63" customWidth="1"/>
    <col min="8" max="8" width="16.42578125" style="215" customWidth="1"/>
    <col min="9" max="9" width="16.42578125" style="63" customWidth="1"/>
    <col min="10" max="10" width="12.140625" style="56" customWidth="1"/>
    <col min="11" max="11" width="13.85546875" style="56" customWidth="1"/>
    <col min="12" max="12" width="6.7109375" style="56" customWidth="1"/>
    <col min="13" max="13" width="20.7109375" style="63" customWidth="1"/>
    <col min="14" max="14" width="16.5703125" style="56" customWidth="1"/>
    <col min="15" max="15" width="9.42578125" style="63" customWidth="1"/>
    <col min="16" max="16" width="12.85546875" style="56" customWidth="1"/>
    <col min="17" max="17" width="5.85546875" style="56" customWidth="1"/>
    <col min="18" max="18" width="39.140625" style="56" customWidth="1"/>
    <col min="19" max="19" width="13.28515625" style="56" customWidth="1"/>
    <col min="20" max="20" width="6.85546875" style="56" customWidth="1"/>
    <col min="21" max="21" width="5" style="56" customWidth="1"/>
    <col min="22" max="22" width="5.5703125" style="56" customWidth="1"/>
    <col min="23" max="23" width="7.140625" style="56" customWidth="1"/>
    <col min="24" max="24" width="6.7109375" style="56" customWidth="1"/>
    <col min="25" max="25" width="7.5703125" style="56" customWidth="1"/>
    <col min="26" max="26" width="26.140625" style="56" customWidth="1"/>
    <col min="27" max="27" width="9.28515625" style="56" customWidth="1"/>
    <col min="28" max="28" width="5.5703125" style="56" customWidth="1"/>
    <col min="29" max="29" width="10.42578125" style="56" customWidth="1"/>
    <col min="30" max="30" width="6.5703125" style="56" customWidth="1"/>
    <col min="31" max="31" width="9.140625" style="56" customWidth="1"/>
    <col min="32" max="33" width="8.42578125" style="56" customWidth="1"/>
    <col min="34" max="34" width="7.28515625" style="56" customWidth="1"/>
    <col min="35" max="35" width="23" style="56" customWidth="1"/>
    <col min="36" max="36" width="16" style="56" customWidth="1"/>
    <col min="37" max="37" width="10.140625" style="56" customWidth="1"/>
    <col min="38" max="38" width="13.28515625" style="56" customWidth="1"/>
    <col min="39" max="39" width="18.5703125" style="56" customWidth="1"/>
    <col min="40" max="40" width="9.28515625" style="56" customWidth="1"/>
    <col min="41" max="16384" width="11.42578125" style="56"/>
  </cols>
  <sheetData>
    <row r="2" spans="1:72" customFormat="1" ht="15" customHeight="1" x14ac:dyDescent="0.25">
      <c r="A2" s="353" t="s">
        <v>475</v>
      </c>
      <c r="B2" s="354"/>
      <c r="C2" s="354"/>
      <c r="D2" s="355"/>
      <c r="E2" s="362" t="s">
        <v>339</v>
      </c>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4"/>
      <c r="AK2" s="362"/>
      <c r="AL2" s="363"/>
      <c r="AM2" s="363"/>
      <c r="AN2" s="364"/>
    </row>
    <row r="3" spans="1:72" customFormat="1" ht="15" customHeight="1" x14ac:dyDescent="0.25">
      <c r="A3" s="356"/>
      <c r="B3" s="357"/>
      <c r="C3" s="357"/>
      <c r="D3" s="358"/>
      <c r="E3" s="368"/>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70"/>
      <c r="AK3" s="365"/>
      <c r="AL3" s="366"/>
      <c r="AM3" s="366"/>
      <c r="AN3" s="367"/>
    </row>
    <row r="4" spans="1:72" customFormat="1" ht="15" customHeight="1" x14ac:dyDescent="0.25">
      <c r="A4" s="356"/>
      <c r="B4" s="357"/>
      <c r="C4" s="357"/>
      <c r="D4" s="358"/>
      <c r="E4" s="362" t="s">
        <v>481</v>
      </c>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4"/>
      <c r="AK4" s="368"/>
      <c r="AL4" s="369"/>
      <c r="AM4" s="369"/>
      <c r="AN4" s="370"/>
    </row>
    <row r="5" spans="1:72" customFormat="1" ht="15.75" customHeight="1" x14ac:dyDescent="0.25">
      <c r="A5" s="359"/>
      <c r="B5" s="360"/>
      <c r="C5" s="360"/>
      <c r="D5" s="361"/>
      <c r="E5" s="368"/>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70"/>
      <c r="AK5" s="371">
        <v>45771</v>
      </c>
      <c r="AL5" s="372"/>
      <c r="AM5" s="372"/>
      <c r="AN5" s="373"/>
    </row>
    <row r="6" spans="1:72" x14ac:dyDescent="0.2">
      <c r="A6" s="305"/>
      <c r="B6" s="306"/>
      <c r="C6" s="307"/>
      <c r="D6" s="306"/>
      <c r="E6" s="306"/>
      <c r="F6" s="306"/>
      <c r="G6" s="306"/>
      <c r="H6" s="306"/>
      <c r="I6" s="306"/>
      <c r="J6" s="308"/>
      <c r="K6" s="309" t="s">
        <v>104</v>
      </c>
      <c r="L6" s="310"/>
      <c r="M6" s="310"/>
      <c r="N6" s="310"/>
      <c r="O6" s="310"/>
      <c r="P6" s="311"/>
      <c r="Q6" s="333" t="s">
        <v>105</v>
      </c>
      <c r="R6" s="334"/>
      <c r="S6" s="334"/>
      <c r="T6" s="334"/>
      <c r="U6" s="334"/>
      <c r="V6" s="334"/>
      <c r="W6" s="334"/>
      <c r="X6" s="334"/>
      <c r="Y6" s="334"/>
      <c r="Z6" s="335"/>
      <c r="AA6" s="312" t="s">
        <v>106</v>
      </c>
      <c r="AB6" s="313"/>
      <c r="AC6" s="313"/>
      <c r="AD6" s="313"/>
      <c r="AE6" s="313"/>
      <c r="AF6" s="313"/>
      <c r="AG6" s="313"/>
      <c r="AH6" s="314"/>
      <c r="AI6" s="299" t="s">
        <v>32</v>
      </c>
      <c r="AJ6" s="300"/>
      <c r="AK6" s="300"/>
      <c r="AL6" s="300"/>
      <c r="AM6" s="300"/>
      <c r="AN6" s="301"/>
    </row>
    <row r="7" spans="1:72" ht="16.5" customHeight="1" x14ac:dyDescent="0.2">
      <c r="A7" s="327" t="s">
        <v>142</v>
      </c>
      <c r="B7" s="327" t="s">
        <v>335</v>
      </c>
      <c r="C7" s="374" t="s">
        <v>358</v>
      </c>
      <c r="D7" s="331" t="s">
        <v>1</v>
      </c>
      <c r="E7" s="329" t="s">
        <v>39</v>
      </c>
      <c r="F7" s="331" t="s">
        <v>0</v>
      </c>
      <c r="G7" s="329" t="s">
        <v>43</v>
      </c>
      <c r="H7" s="329" t="s">
        <v>203</v>
      </c>
      <c r="I7" s="139"/>
      <c r="J7" s="329" t="s">
        <v>100</v>
      </c>
      <c r="K7" s="270" t="s">
        <v>31</v>
      </c>
      <c r="L7" s="280" t="s">
        <v>3</v>
      </c>
      <c r="M7" s="270" t="s">
        <v>69</v>
      </c>
      <c r="N7" s="270" t="s">
        <v>337</v>
      </c>
      <c r="O7" s="280" t="s">
        <v>3</v>
      </c>
      <c r="P7" s="270" t="s">
        <v>42</v>
      </c>
      <c r="Q7" s="340" t="s">
        <v>9</v>
      </c>
      <c r="R7" s="321" t="s">
        <v>111</v>
      </c>
      <c r="S7" s="321" t="s">
        <v>10</v>
      </c>
      <c r="T7" s="336" t="s">
        <v>6</v>
      </c>
      <c r="U7" s="337"/>
      <c r="V7" s="337"/>
      <c r="W7" s="337"/>
      <c r="X7" s="337"/>
      <c r="Y7" s="337"/>
      <c r="Z7" s="338"/>
      <c r="AA7" s="342" t="s">
        <v>103</v>
      </c>
      <c r="AB7" s="282" t="s">
        <v>40</v>
      </c>
      <c r="AC7" s="282" t="s">
        <v>3</v>
      </c>
      <c r="AD7" s="282" t="s">
        <v>41</v>
      </c>
      <c r="AE7" s="282" t="s">
        <v>3</v>
      </c>
      <c r="AF7" s="282" t="s">
        <v>229</v>
      </c>
      <c r="AG7" s="282" t="s">
        <v>338</v>
      </c>
      <c r="AH7" s="282" t="s">
        <v>27</v>
      </c>
      <c r="AI7" s="278" t="s">
        <v>32</v>
      </c>
      <c r="AJ7" s="278" t="s">
        <v>33</v>
      </c>
      <c r="AK7" s="278" t="s">
        <v>34</v>
      </c>
      <c r="AL7" s="278" t="s">
        <v>35</v>
      </c>
      <c r="AM7" s="278" t="s">
        <v>155</v>
      </c>
      <c r="AN7" s="278" t="s">
        <v>36</v>
      </c>
    </row>
    <row r="8" spans="1:72" s="57" customFormat="1" ht="94.5" customHeight="1" x14ac:dyDescent="0.25">
      <c r="A8" s="328"/>
      <c r="B8" s="328"/>
      <c r="C8" s="375"/>
      <c r="D8" s="332"/>
      <c r="E8" s="330"/>
      <c r="F8" s="332"/>
      <c r="G8" s="330"/>
      <c r="H8" s="330"/>
      <c r="I8" s="140" t="s">
        <v>336</v>
      </c>
      <c r="J8" s="330"/>
      <c r="K8" s="271"/>
      <c r="L8" s="281"/>
      <c r="M8" s="271"/>
      <c r="N8" s="271"/>
      <c r="O8" s="281"/>
      <c r="P8" s="271"/>
      <c r="Q8" s="341"/>
      <c r="R8" s="322"/>
      <c r="S8" s="322"/>
      <c r="T8" s="123" t="s">
        <v>11</v>
      </c>
      <c r="U8" s="123" t="s">
        <v>15</v>
      </c>
      <c r="V8" s="123" t="s">
        <v>26</v>
      </c>
      <c r="W8" s="123" t="s">
        <v>16</v>
      </c>
      <c r="X8" s="123" t="s">
        <v>19</v>
      </c>
      <c r="Y8" s="123" t="s">
        <v>22</v>
      </c>
      <c r="Z8" s="123" t="s">
        <v>154</v>
      </c>
      <c r="AA8" s="343"/>
      <c r="AB8" s="283"/>
      <c r="AC8" s="283"/>
      <c r="AD8" s="283"/>
      <c r="AE8" s="283"/>
      <c r="AF8" s="283"/>
      <c r="AG8" s="283"/>
      <c r="AH8" s="283"/>
      <c r="AI8" s="279"/>
      <c r="AJ8" s="339"/>
      <c r="AK8" s="279"/>
      <c r="AL8" s="279"/>
      <c r="AM8" s="279"/>
      <c r="AN8" s="279"/>
      <c r="AT8" s="97"/>
    </row>
    <row r="9" spans="1:72" s="59" customFormat="1" ht="249.75" customHeight="1" x14ac:dyDescent="0.25">
      <c r="A9" s="381" t="s">
        <v>232</v>
      </c>
      <c r="B9" s="325">
        <v>1</v>
      </c>
      <c r="C9" s="296" t="s">
        <v>471</v>
      </c>
      <c r="D9" s="298" t="s">
        <v>97</v>
      </c>
      <c r="E9" s="272" t="s">
        <v>221</v>
      </c>
      <c r="F9" s="290" t="s">
        <v>220</v>
      </c>
      <c r="G9" s="272" t="s">
        <v>222</v>
      </c>
      <c r="H9" s="272" t="s">
        <v>206</v>
      </c>
      <c r="I9" s="272" t="s">
        <v>340</v>
      </c>
      <c r="J9" s="275">
        <v>12</v>
      </c>
      <c r="K9" s="315" t="str">
        <f>IF(J9&lt;=0,"",IF(J9&lt;=2,"Muy Baja",IF(J9&lt;=24,"Baja",IF(J9&lt;=500,"Media",IF(J9&lt;=5000,"Alta","Muy Alta")))))</f>
        <v>Baja</v>
      </c>
      <c r="L9" s="318">
        <f>IF(K9="","",IF(K9="Muy Baja",0.2,IF(K9="Baja",0.4,IF(K9="Media",0.6,IF(K9="Alta",0.8,IF(K9="Muy Alta",1,))))))</f>
        <v>0.4</v>
      </c>
      <c r="M9" s="272">
        <f>'Tabla Impacto'!I26</f>
        <v>8</v>
      </c>
      <c r="N9" s="315" t="str">
        <f>IF(M9&lt;=3,"Leve",IF(M9&lt;=6,"Menor",IF(M9&lt;=10,"Moderado",IF(M9&lt;=14,"Mayor","Catastrofico"))))</f>
        <v>Moderado</v>
      </c>
      <c r="O9" s="318">
        <f>IF(N9="","",IF(N9="Moderado",0.6,IF(N9="Mayor",0.8,IF(N9="Catastrófico",1,))))</f>
        <v>0.6</v>
      </c>
      <c r="P9" s="323" t="str">
        <f>IF(OR(AND(K9="Muy Baja",N9="Leve"),AND(K9="Muy Baja",N9="Menor"),AND(K9="Baja",N9="Leve")),"Bajo",IF(OR(AND(K9="Muy baja",N9="Moderado"),AND(K9="Baja",N9="Menor"),AND(K9="Baja",N9="Moderado"),AND(K9="Media",N9="Leve"),AND(K9="Media",N9="Menor"),AND(K9="Media",N9="Moderado"),AND(K9="Alta",N9="Leve"),AND(K9="Alta",N9="Menor")),"Moderado",IF(OR(AND(K9="Muy Baja",N9="Mayor"),AND(K9="Baja",N9="Mayor"),AND(K9="Media",N9="Mayor"),AND(K9="Alta",N9="Moderado"),AND(K9="Alta",N9="Mayor"),AND(K9="Muy Alta",N9="Leve"),AND(K9="Muy Alta",N9="Menor"),AND(K9="Muy Alta",N9="Moderado"),AND(K9="Muy Alta",N9="Mayor")),"Alto",IF(OR(AND(K9="Muy Baja",N9="Catastrófico"),AND(K9="Baja",N9="Catastrófico"),AND(K9="Media",N9="Catastrófico"),AND(K9="Alta",N9="Catastrófico"),AND(K9="Muy Alta",N9="Catastrófico")),"Extremo",""))))</f>
        <v>Moderado</v>
      </c>
      <c r="Q9" s="138">
        <v>1</v>
      </c>
      <c r="R9" s="124" t="s">
        <v>223</v>
      </c>
      <c r="S9" s="113" t="str">
        <f t="shared" ref="S9" si="0">IF(OR(T9="Preventivo",T9="Detectivo"),"Probabilidad",IF(T9="Correctivo","Impacto",""))</f>
        <v>Probabilidad</v>
      </c>
      <c r="T9" s="134" t="s">
        <v>12</v>
      </c>
      <c r="U9" s="134" t="s">
        <v>7</v>
      </c>
      <c r="V9" s="60" t="str">
        <f t="shared" ref="V9:V15" si="1">IF(AND(T9="Preventivo",U9="Automático"),"50%",IF(AND(T9="Preventivo",U9="Manual"),"40%",IF(AND(T9="Detectivo",U9="Automático"),"40%",IF(AND(T9="Detectivo",U9="Manual"),"30%",IF(AND(T9="Correctivo",U9="Automático"),"35%",IF(AND(T9="Correctivo",U9="Manual"),"25%",""))))))</f>
        <v>40%</v>
      </c>
      <c r="W9" s="134" t="s">
        <v>17</v>
      </c>
      <c r="X9" s="134" t="s">
        <v>20</v>
      </c>
      <c r="Y9" s="134" t="s">
        <v>86</v>
      </c>
      <c r="Z9" s="54" t="s">
        <v>224</v>
      </c>
      <c r="AA9" s="114">
        <f>IFERROR(IF(S9="Probabilidad",(L9-(+L9*V9)),IF(S9="Impacto",L9,"")),"")</f>
        <v>0.24</v>
      </c>
      <c r="AB9" s="61" t="str">
        <f>IFERROR(IF(AA9="","",IF(AA9&lt;=0.2,"Muy Baja",IF(AA9&lt;=0.4,"Baja",IF(AA9&lt;=0.6,"Media",IF(AA9&lt;=0.8,"Alta","Muy Alta"))))),"")</f>
        <v>Baja</v>
      </c>
      <c r="AC9" s="60">
        <f>+AA9</f>
        <v>0.24</v>
      </c>
      <c r="AD9" s="61" t="str">
        <f>IFERROR(IF(AE9="","",IF(AE9&lt;=0.2,"Leve",IF(AE9&lt;=0.4,"Menor",IF(AE9&lt;=0.6,"Moderado",IF(AE9&lt;=0.8,"Mayor","Catastrófico"))))),"")</f>
        <v>Moderado</v>
      </c>
      <c r="AE9" s="60">
        <f>IFERROR(IF(S9="Impacto",(O9-(+O9*V9)),IF(S9="Probabilidad",O9,"")),"")</f>
        <v>0.6</v>
      </c>
      <c r="AF9" s="133" t="str">
        <f>IFERROR(IF(OR(AND(AB9="Muy Baja",AD9="Leve"),AND(AB9="Muy Baja",AD9="Menor"),AND(AB9="Baja",AD9="Leve")),"Bajo",IF(OR(AND(AB9="Muy baja",AD9="Moderado"),AND(AB9="Baja",AD9="Menor"),AND(AB9="Baja",AD9="Moderado"),AND(AB9="Media",AD9="Leve"),AND(AB9="Media",AD9="Menor"),AND(AB9="Media",AD9="Moderado"),AND(AB9="Alta",AD9="Leve"),AND(AB9="Alta",AD9="Menor")),"Moderado",IF(OR(AND(AB9="Muy Baja",AD9="Mayor"),AND(AB9="Baja",AD9="Mayor"),AND(AB9="Media",AD9="Mayor"),AND(AB9="Alta",AD9="Moderado"),AND(AB9="Alta",AD9="Mayor"),AND(AB9="Muy Alta",AD9="Leve"),AND(AB9="Muy Alta",AD9="Menor"),AND(AB9="Muy Alta",AD9="Moderado"),AND(AB9="Muy Alta",AD9="Mayor")),"Alto",IF(OR(AND(AB9="Muy Baja",AD9="Catastrófico"),AND(AB9="Baja",AD9="Catastrófico"),AND(AB9="Media",AD9="Catastrófico"),AND(AB9="Alta",AD9="Catastrófico"),AND(AB9="Muy Alta",AD9="Catastrófico")),"Extremo","")))),"")</f>
        <v>Moderado</v>
      </c>
      <c r="AG9" s="268"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H9" s="134" t="s">
        <v>101</v>
      </c>
      <c r="AI9" s="120" t="s">
        <v>225</v>
      </c>
      <c r="AJ9" s="126" t="s">
        <v>346</v>
      </c>
      <c r="AK9" s="125" t="s">
        <v>230</v>
      </c>
      <c r="AL9" s="125" t="s">
        <v>231</v>
      </c>
      <c r="AM9" s="120" t="s">
        <v>228</v>
      </c>
      <c r="AN9" s="121" t="s">
        <v>38</v>
      </c>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row>
    <row r="10" spans="1:72" ht="137.25" customHeight="1" x14ac:dyDescent="0.2">
      <c r="A10" s="382"/>
      <c r="B10" s="326"/>
      <c r="C10" s="297"/>
      <c r="D10" s="274"/>
      <c r="E10" s="274"/>
      <c r="F10" s="291"/>
      <c r="G10" s="274"/>
      <c r="H10" s="274"/>
      <c r="I10" s="274"/>
      <c r="J10" s="277"/>
      <c r="K10" s="317"/>
      <c r="L10" s="320"/>
      <c r="M10" s="274"/>
      <c r="N10" s="317"/>
      <c r="O10" s="320"/>
      <c r="P10" s="324"/>
      <c r="Q10" s="138">
        <v>2</v>
      </c>
      <c r="R10" s="54" t="s">
        <v>226</v>
      </c>
      <c r="S10" s="113" t="str">
        <f t="shared" ref="S10" si="2">IF(OR(T10="Preventivo",T10="Detectivo"),"Probabilidad",IF(T10="Correctivo","Impacto",""))</f>
        <v>Probabilidad</v>
      </c>
      <c r="T10" s="134" t="s">
        <v>12</v>
      </c>
      <c r="U10" s="134" t="s">
        <v>7</v>
      </c>
      <c r="V10" s="60" t="str">
        <f t="shared" si="1"/>
        <v>40%</v>
      </c>
      <c r="W10" s="134" t="s">
        <v>17</v>
      </c>
      <c r="X10" s="134" t="s">
        <v>20</v>
      </c>
      <c r="Y10" s="134" t="s">
        <v>86</v>
      </c>
      <c r="Z10" s="54" t="s">
        <v>227</v>
      </c>
      <c r="AA10" s="114">
        <f>IFERROR(IF(AND(S9="Probabilidad",S10="Probabilidad"),(AC9-(+AC9*V10)),IF(S10="Probabilidad",(M9-(+M9*V10)),IF(S10="Impacto",AC9,""))),"")</f>
        <v>0.14399999999999999</v>
      </c>
      <c r="AB10" s="61" t="str">
        <f>IFERROR(IF(AA10="","",IF(AA10&lt;=0.2,"Muy Baja",IF(AA10&lt;=0.4,"Baja",IF(AA10&lt;=0.6,"Media",IF(AA10&lt;=0.8,"Alta","Muy Alta"))))),"")</f>
        <v>Muy Baja</v>
      </c>
      <c r="AC10" s="60">
        <f>+AA10</f>
        <v>0.14399999999999999</v>
      </c>
      <c r="AD10" s="61" t="str">
        <f>IFERROR(IF(AE10="","",IF(AE10&lt;=0.2,"Leve",IF(AE10&lt;=0.4,"Menor",IF(AE10&lt;=0.6,"Moderado",IF(AE10&lt;=0.8,"Mayor","Catastrófico"))))),"")</f>
        <v>Moderado</v>
      </c>
      <c r="AE10" s="60">
        <f>IFERROR(IF(AND(S9="Impacto",S10="Impacto"),(AE9-(+AE9*V10)),IF(S10="Impacto",(#REF!-(+#REF!*V10)),IF(S10="Probabilidad",AE9,""))),"")</f>
        <v>0.6</v>
      </c>
      <c r="AF10" s="133"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269"/>
      <c r="AH10" s="134" t="s">
        <v>101</v>
      </c>
      <c r="AI10" s="120" t="s">
        <v>219</v>
      </c>
      <c r="AJ10" s="126" t="s">
        <v>346</v>
      </c>
      <c r="AK10" s="125" t="s">
        <v>230</v>
      </c>
      <c r="AL10" s="125" t="s">
        <v>231</v>
      </c>
      <c r="AM10" s="54" t="s">
        <v>227</v>
      </c>
      <c r="AN10" s="121" t="s">
        <v>38</v>
      </c>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row>
    <row r="11" spans="1:72" ht="108.75" customHeight="1" x14ac:dyDescent="0.2">
      <c r="A11" s="204" t="s">
        <v>333</v>
      </c>
      <c r="B11" s="203">
        <v>2</v>
      </c>
      <c r="C11" s="202" t="s">
        <v>472</v>
      </c>
      <c r="D11" s="194" t="s">
        <v>98</v>
      </c>
      <c r="E11" s="128" t="s">
        <v>233</v>
      </c>
      <c r="F11" s="129" t="s">
        <v>234</v>
      </c>
      <c r="G11" s="128" t="s">
        <v>90</v>
      </c>
      <c r="H11" s="128" t="s">
        <v>235</v>
      </c>
      <c r="I11" s="128" t="s">
        <v>340</v>
      </c>
      <c r="J11" s="127">
        <v>36</v>
      </c>
      <c r="K11" s="130" t="str">
        <f>IF(J11&lt;=0,"",IF(J11&lt;=2,"Muy Baja",IF(J11&lt;=24,"Baja",IF(J11&lt;=500,"Media",IF(J11&lt;=5000,"Alta","Muy Alta")))))</f>
        <v>Media</v>
      </c>
      <c r="L11" s="131">
        <f>IF(K11="","",IF(K11="Muy Baja",0.2,IF(K11="Baja",0.4,IF(K11="Media",0.6,IF(K11="Alta",0.8,IF(K11="Muy Alta",1,))))))</f>
        <v>0.6</v>
      </c>
      <c r="M11" s="128">
        <f>+'Tabla Impacto'!K26</f>
        <v>8</v>
      </c>
      <c r="N11" s="130" t="str">
        <f>IF(M11&lt;=3,"Leve",IF(M11&lt;=6,"Menor",IF(M11&lt;=10,"Moderado",IF(M11&lt;=14,"Mayor","Catastrofico"))))</f>
        <v>Moderado</v>
      </c>
      <c r="O11" s="200">
        <f t="shared" ref="O11" si="3">IF(N11="","",IF(N11="Moderado",0.6,IF(N11="Mayor",0.8,IF(N11="Catastrófico",1,))))</f>
        <v>0.6</v>
      </c>
      <c r="P11" s="132" t="str">
        <f>'[1]Mapa final'!P10</f>
        <v>Alto</v>
      </c>
      <c r="Q11" s="138">
        <v>1</v>
      </c>
      <c r="R11" s="54" t="s">
        <v>236</v>
      </c>
      <c r="S11" s="113" t="str">
        <f t="shared" ref="S11" si="4">IF(OR(T11="Preventivo",T11="Detectivo"),"Probabilidad",IF(T11="Correctivo","Impacto",""))</f>
        <v>Probabilidad</v>
      </c>
      <c r="T11" s="134" t="s">
        <v>12</v>
      </c>
      <c r="U11" s="134" t="s">
        <v>7</v>
      </c>
      <c r="V11" s="60" t="str">
        <f t="shared" si="1"/>
        <v>40%</v>
      </c>
      <c r="W11" s="134" t="s">
        <v>17</v>
      </c>
      <c r="X11" s="134" t="s">
        <v>20</v>
      </c>
      <c r="Y11" s="134" t="s">
        <v>86</v>
      </c>
      <c r="Z11" s="54" t="s">
        <v>237</v>
      </c>
      <c r="AA11" s="114">
        <f>IFERROR(IF(S11="Probabilidad",(L11-(+L11*V11)),IF(S11="Impacto",L11,"")),"")</f>
        <v>0.36</v>
      </c>
      <c r="AB11" s="61" t="str">
        <f>IFERROR(IF(AA11="","",IF(AA11&lt;=0.2,"Muy Baja",IF(AA11&lt;=0.4,"Baja",IF(AA11&lt;=0.6,"Media",IF(AA11&lt;=0.8,"Alta","Muy Alta"))))),"")</f>
        <v>Baja</v>
      </c>
      <c r="AC11" s="60">
        <f>+AA11</f>
        <v>0.36</v>
      </c>
      <c r="AD11" s="61" t="str">
        <f>IFERROR(IF(AE11="","",IF(AE11&lt;=0.2,"Leve",IF(AE11&lt;=0.4,"Menor",IF(AE11&lt;=0.6,"Moderado",IF(AE11&lt;=0.8,"Mayor","Catastrófico"))))),"")</f>
        <v>Moderado</v>
      </c>
      <c r="AE11" s="60">
        <f>IFERROR(IF(S11="Impacto",(O11-(+O11*V11)),IF(S11="Probabilidad",O11,"")),"")</f>
        <v>0.6</v>
      </c>
      <c r="AF11" s="133" t="str">
        <f>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33" t="str">
        <f>$AF$11</f>
        <v>Moderado</v>
      </c>
      <c r="AH11" s="134" t="s">
        <v>30</v>
      </c>
      <c r="AI11" s="128" t="s">
        <v>238</v>
      </c>
      <c r="AJ11" s="128" t="s">
        <v>238</v>
      </c>
      <c r="AK11" s="128" t="s">
        <v>238</v>
      </c>
      <c r="AL11" s="128" t="s">
        <v>238</v>
      </c>
      <c r="AM11" s="128" t="s">
        <v>238</v>
      </c>
      <c r="AN11" s="121"/>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row>
    <row r="12" spans="1:72" ht="127.5" customHeight="1" x14ac:dyDescent="0.2">
      <c r="A12" s="384" t="s">
        <v>241</v>
      </c>
      <c r="B12" s="292">
        <v>3</v>
      </c>
      <c r="C12" s="386" t="s">
        <v>472</v>
      </c>
      <c r="D12" s="298" t="s">
        <v>99</v>
      </c>
      <c r="E12" s="272" t="s">
        <v>239</v>
      </c>
      <c r="F12" s="290" t="s">
        <v>240</v>
      </c>
      <c r="G12" s="272" t="s">
        <v>90</v>
      </c>
      <c r="H12" s="272" t="s">
        <v>478</v>
      </c>
      <c r="I12" s="272" t="s">
        <v>340</v>
      </c>
      <c r="J12" s="275">
        <v>1</v>
      </c>
      <c r="K12" s="315" t="str">
        <f>IF(J12&lt;=0,"",IF(J12&lt;=2,"Muy Baja",IF(J12&lt;=24,"Baja",IF(J12&lt;=500,"Media",IF(J12&lt;=5000,"Alta","Muy Alta")))))</f>
        <v>Muy Baja</v>
      </c>
      <c r="L12" s="318">
        <f>'[2]Mapa final'!J10</f>
        <v>0.2</v>
      </c>
      <c r="M12" s="272">
        <f>+'Tabla Impacto'!M26</f>
        <v>10</v>
      </c>
      <c r="N12" s="315" t="str">
        <f t="shared" ref="N12:N50" si="5">IF(M12&lt;=3,"Leve",IF(M12&lt;=6,"Menor",IF(M12&lt;=10,"Moderado",IF(M12&lt;=14,"Mayor","Catastrofico"))))</f>
        <v>Moderado</v>
      </c>
      <c r="O12" s="200">
        <f>IF(N12="","",IF(N12="Moderado",0.6,IF(N12="Mayor",0.8,IF(N12="Catastrófico",1,))))</f>
        <v>0.6</v>
      </c>
      <c r="P12" s="302" t="str">
        <f>'[2]Mapa final'!P10</f>
        <v>Alto</v>
      </c>
      <c r="Q12" s="138">
        <v>1</v>
      </c>
      <c r="R12" s="54" t="s">
        <v>341</v>
      </c>
      <c r="S12" s="113" t="str">
        <f>IF(OR(T12="Preventivo",T12="Detectivo"),"Probabilidad",IF(T12="Correctivo","Impacto",""))</f>
        <v>Probabilidad</v>
      </c>
      <c r="T12" s="134" t="s">
        <v>12</v>
      </c>
      <c r="U12" s="134" t="s">
        <v>7</v>
      </c>
      <c r="V12" s="60" t="str">
        <f t="shared" si="1"/>
        <v>40%</v>
      </c>
      <c r="W12" s="134" t="s">
        <v>17</v>
      </c>
      <c r="X12" s="134" t="s">
        <v>20</v>
      </c>
      <c r="Y12" s="134" t="s">
        <v>86</v>
      </c>
      <c r="Z12" s="54" t="s">
        <v>242</v>
      </c>
      <c r="AA12" s="114">
        <f>IFERROR(IF(S12="Probabilidad",(L12-(+L12*V12)),IF(S12="Impacto",L12,"")),"")</f>
        <v>0.12</v>
      </c>
      <c r="AB12" s="61" t="str">
        <f>IFERROR(IF(AA12="","",IF(AA12&lt;=0.2,"Muy Baja",IF(AA12&lt;=0.4,"Baja",IF(AA12&lt;=0.6,"Media",IF(AA12&lt;=0.8,"Alta","Muy Alta"))))),"")</f>
        <v>Muy Baja</v>
      </c>
      <c r="AC12" s="60">
        <f>+AA12</f>
        <v>0.12</v>
      </c>
      <c r="AD12" s="61" t="str">
        <f>IFERROR(IF(AE12="","",IF(AE12&lt;=0.2,"Leve",IF(AE12&lt;=0.4,"Menor",IF(AE12&lt;=0.6,"Moderado",IF(AE12&lt;=0.8,"Mayor","Catastrófico"))))),"")</f>
        <v>Moderado</v>
      </c>
      <c r="AE12" s="60">
        <f>IFERROR(IF(S12="Impacto",(O12-(+O12*V12)),IF(S12="Probabilidad",O12,"")),"")</f>
        <v>0.6</v>
      </c>
      <c r="AF12" s="133" t="str">
        <f>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268" t="str">
        <f>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H12" s="284" t="s">
        <v>101</v>
      </c>
      <c r="AI12" s="272" t="s">
        <v>243</v>
      </c>
      <c r="AJ12" s="272" t="s">
        <v>244</v>
      </c>
      <c r="AK12" s="287" t="s">
        <v>245</v>
      </c>
      <c r="AL12" s="265" t="s">
        <v>231</v>
      </c>
      <c r="AM12" s="272" t="s">
        <v>246</v>
      </c>
      <c r="AN12" s="275" t="s">
        <v>38</v>
      </c>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row>
    <row r="13" spans="1:72" ht="167.25" customHeight="1" x14ac:dyDescent="0.2">
      <c r="A13" s="385"/>
      <c r="B13" s="293"/>
      <c r="C13" s="387"/>
      <c r="D13" s="273"/>
      <c r="E13" s="273"/>
      <c r="F13" s="295"/>
      <c r="G13" s="273"/>
      <c r="H13" s="273"/>
      <c r="I13" s="273"/>
      <c r="J13" s="276"/>
      <c r="K13" s="316"/>
      <c r="L13" s="319"/>
      <c r="M13" s="273"/>
      <c r="N13" s="316"/>
      <c r="O13" s="198"/>
      <c r="P13" s="303"/>
      <c r="Q13" s="138">
        <v>2</v>
      </c>
      <c r="R13" s="54" t="s">
        <v>247</v>
      </c>
      <c r="S13" s="113" t="str">
        <f t="shared" ref="S13:S17" si="6">IF(OR(T13="Preventivo",T13="Detectivo"),"Probabilidad",IF(T13="Correctivo","Impacto",""))</f>
        <v>Probabilidad</v>
      </c>
      <c r="T13" s="134" t="s">
        <v>12</v>
      </c>
      <c r="U13" s="134" t="s">
        <v>7</v>
      </c>
      <c r="V13" s="60" t="str">
        <f t="shared" si="1"/>
        <v>40%</v>
      </c>
      <c r="W13" s="134" t="s">
        <v>17</v>
      </c>
      <c r="X13" s="134" t="s">
        <v>20</v>
      </c>
      <c r="Y13" s="134" t="s">
        <v>86</v>
      </c>
      <c r="Z13" s="54" t="s">
        <v>248</v>
      </c>
      <c r="AA13" s="114">
        <f>IFERROR(IF(AND(S12="Probabilidad",S13="Probabilidad"),(AC12-(+AC12*V13)),IF(S13="Probabilidad",(L12-(+L12*V13)),IF(S13="Impacto",AC12,""))),"")</f>
        <v>7.1999999999999995E-2</v>
      </c>
      <c r="AB13" s="61" t="str">
        <f t="shared" ref="AB13" si="7">IFERROR(IF(AA13="","",IF(AA13&lt;=0.2,"Muy Baja",IF(AA13&lt;=0.4,"Baja",IF(AA13&lt;=0.6,"Media",IF(AA13&lt;=0.8,"Alta","Muy Alta"))))),"")</f>
        <v>Muy Baja</v>
      </c>
      <c r="AC13" s="60">
        <f t="shared" ref="AC13:AC14" si="8">+AA13</f>
        <v>7.1999999999999995E-2</v>
      </c>
      <c r="AD13" s="61" t="str">
        <f t="shared" ref="AD13:AD14" si="9">IFERROR(IF(AE13="","",IF(AE13&lt;=0.2,"Leve",IF(AE13&lt;=0.4,"Menor",IF(AE13&lt;=0.6,"Moderado",IF(AE13&lt;=0.8,"Mayor","Catastrófico"))))),"")</f>
        <v>Moderado</v>
      </c>
      <c r="AE13" s="60">
        <f>IFERROR(IF(AND(S12="Impacto",S13="Impacto"),(AE12-(+AE12*V13)),IF(S13="Impacto",(#REF!-(+#REF!*V13)),IF(S13="Probabilidad",AE12,""))),"")</f>
        <v>0.6</v>
      </c>
      <c r="AF13" s="133" t="str">
        <f>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Moderado</v>
      </c>
      <c r="AG13" s="344"/>
      <c r="AH13" s="285"/>
      <c r="AI13" s="273"/>
      <c r="AJ13" s="273"/>
      <c r="AK13" s="288"/>
      <c r="AL13" s="266"/>
      <c r="AM13" s="273"/>
      <c r="AN13" s="276"/>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row>
    <row r="14" spans="1:72" ht="132.75" customHeight="1" x14ac:dyDescent="0.2">
      <c r="A14" s="385"/>
      <c r="B14" s="293"/>
      <c r="C14" s="388"/>
      <c r="D14" s="274"/>
      <c r="E14" s="274"/>
      <c r="F14" s="291"/>
      <c r="G14" s="274"/>
      <c r="H14" s="274"/>
      <c r="I14" s="274"/>
      <c r="J14" s="277"/>
      <c r="K14" s="317"/>
      <c r="L14" s="320"/>
      <c r="M14" s="274"/>
      <c r="N14" s="317"/>
      <c r="O14" s="197"/>
      <c r="P14" s="304"/>
      <c r="Q14" s="138">
        <v>3</v>
      </c>
      <c r="R14" s="54" t="s">
        <v>249</v>
      </c>
      <c r="S14" s="113" t="str">
        <f t="shared" si="6"/>
        <v>Probabilidad</v>
      </c>
      <c r="T14" s="134" t="s">
        <v>12</v>
      </c>
      <c r="U14" s="134" t="s">
        <v>7</v>
      </c>
      <c r="V14" s="60" t="str">
        <f t="shared" si="1"/>
        <v>40%</v>
      </c>
      <c r="W14" s="134" t="s">
        <v>17</v>
      </c>
      <c r="X14" s="134" t="s">
        <v>20</v>
      </c>
      <c r="Y14" s="134" t="s">
        <v>86</v>
      </c>
      <c r="Z14" s="54" t="s">
        <v>250</v>
      </c>
      <c r="AA14" s="114">
        <f>IFERROR(IF(AND(S13="Probabilidad",S14="Probabilidad"),(AC13-(+AC13*V14)),IF(AND(S13="Impacto",S14="Probabilidad"),(AC12-(+AC12*V14)),IF(S14="Impacto",AC13,""))),"")</f>
        <v>4.3199999999999995E-2</v>
      </c>
      <c r="AB14" s="61" t="str">
        <f>IFERROR(IF(AA14="","",IF(AA14&lt;=0.2,"Muy Baja",IF(AA14&lt;=0.4,"Baja",IF(AA14&lt;=0.6,"Media",IF(AA14&lt;=0.8,"Alta","Muy Alta"))))),"")</f>
        <v>Muy Baja</v>
      </c>
      <c r="AC14" s="60">
        <f t="shared" si="8"/>
        <v>4.3199999999999995E-2</v>
      </c>
      <c r="AD14" s="61" t="str">
        <f t="shared" si="9"/>
        <v>Moderado</v>
      </c>
      <c r="AE14" s="60">
        <f>IFERROR(IF(AND(S13="Impacto",S14="Impacto"),(AE13-(+AE13*V14)),IF(AND(S13="Probabilidad",S14="Impacto"),(AE12-(+AE12*V14)),IF(S14="Probabilidad",AE13,""))),"")</f>
        <v>0.6</v>
      </c>
      <c r="AF14" s="133" t="str">
        <f t="shared" ref="AF14" si="10">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Moderado</v>
      </c>
      <c r="AG14" s="269"/>
      <c r="AH14" s="286"/>
      <c r="AI14" s="274"/>
      <c r="AJ14" s="274"/>
      <c r="AK14" s="289"/>
      <c r="AL14" s="267"/>
      <c r="AM14" s="274"/>
      <c r="AN14" s="277"/>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row>
    <row r="15" spans="1:72" ht="104.25" customHeight="1" x14ac:dyDescent="0.2">
      <c r="A15" s="378" t="s">
        <v>253</v>
      </c>
      <c r="B15" s="292">
        <v>4</v>
      </c>
      <c r="C15" s="386" t="s">
        <v>472</v>
      </c>
      <c r="D15" s="298" t="s">
        <v>99</v>
      </c>
      <c r="E15" s="272" t="s">
        <v>251</v>
      </c>
      <c r="F15" s="290" t="s">
        <v>252</v>
      </c>
      <c r="G15" s="272" t="s">
        <v>91</v>
      </c>
      <c r="H15" s="272" t="s">
        <v>477</v>
      </c>
      <c r="I15" s="272" t="s">
        <v>340</v>
      </c>
      <c r="J15" s="275">
        <v>205</v>
      </c>
      <c r="K15" s="315" t="str">
        <f>IF(J15&lt;=0,"",IF(J15&lt;=2,"Muy Baja",IF(J15&lt;=24,"Baja",IF(J15&lt;=500,"Media",IF(J15&lt;=5000,"Alta","Muy Alta")))))</f>
        <v>Media</v>
      </c>
      <c r="L15" s="318">
        <f>IF(K15="","",IF(K15="Muy Baja",0.2,IF(K15="Baja",0.4,IF(K15="Media",0.6,IF(K15="Alta",0.8,IF(K15="Muy Alta",1,))))))</f>
        <v>0.6</v>
      </c>
      <c r="M15" s="272">
        <f>+'Tabla Impacto'!O26</f>
        <v>16</v>
      </c>
      <c r="N15" s="315" t="str">
        <f>IF(M15&lt;=3,"Leve",IF(M15&lt;=6,"Menor",IF(M15&lt;=10,"Moderado",IF(M15&lt;=14,"Mayor","Catastrófico"))))</f>
        <v>Catastrófico</v>
      </c>
      <c r="O15" s="318">
        <f>IF(N15:N15="","",IF(N15="Moderado",0.6,IF(N15="Mayor",0.8,IF(N15="Catastrófico",1,))))</f>
        <v>1</v>
      </c>
      <c r="P15" s="302" t="s">
        <v>65</v>
      </c>
      <c r="Q15" s="138">
        <v>1</v>
      </c>
      <c r="R15" s="54" t="s">
        <v>342</v>
      </c>
      <c r="S15" s="113" t="str">
        <f t="shared" si="6"/>
        <v>Probabilidad</v>
      </c>
      <c r="T15" s="134" t="s">
        <v>12</v>
      </c>
      <c r="U15" s="134" t="s">
        <v>7</v>
      </c>
      <c r="V15" s="60" t="str">
        <f t="shared" si="1"/>
        <v>40%</v>
      </c>
      <c r="W15" s="134" t="s">
        <v>17</v>
      </c>
      <c r="X15" s="134" t="s">
        <v>20</v>
      </c>
      <c r="Y15" s="134" t="s">
        <v>86</v>
      </c>
      <c r="Z15" s="54" t="s">
        <v>254</v>
      </c>
      <c r="AA15" s="114">
        <f>IFERROR(IF(S15="Probabilidad",(L15-(+L15*V15)),IF(S15="Impacto",L15,"")),"")</f>
        <v>0.36</v>
      </c>
      <c r="AB15" s="61" t="str">
        <f>IFERROR(IF(AA15="","",IF(AA15&lt;=0.2,"Muy Baja",IF(AA15&lt;=0.4,"Baja",IF(AA15&lt;=0.6,"Media",IF(AA15&lt;=0.8,"Alta","Muy Alta"))))),"")</f>
        <v>Baja</v>
      </c>
      <c r="AC15" s="60">
        <f>+AA15</f>
        <v>0.36</v>
      </c>
      <c r="AD15" s="61" t="str">
        <f>IFERROR(IF(AE15="","",IF(AE15&lt;=0.2,"Leve",IF(AE15&lt;=0.4,"Menor",IF(AE15&lt;=0.6,"Moderado",IF(AE15&lt;=0.8,"Mayor","Catastrófico"))))),"")</f>
        <v>Catastrófico</v>
      </c>
      <c r="AE15" s="60">
        <f>IFERROR(IF(S15="Impacto",(O15-(+O15*V15)),IF(S15="Probabilidad",O15,"")),"")</f>
        <v>1</v>
      </c>
      <c r="AF15" s="133" t="str">
        <f>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Extremo</v>
      </c>
      <c r="AG15" s="268" t="str">
        <f>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Extremo</v>
      </c>
      <c r="AH15" s="284" t="s">
        <v>30</v>
      </c>
      <c r="AI15" s="272" t="s">
        <v>238</v>
      </c>
      <c r="AJ15" s="272" t="s">
        <v>238</v>
      </c>
      <c r="AK15" s="272" t="s">
        <v>238</v>
      </c>
      <c r="AL15" s="272" t="s">
        <v>238</v>
      </c>
      <c r="AM15" s="272" t="s">
        <v>238</v>
      </c>
      <c r="AN15" s="272" t="s">
        <v>238</v>
      </c>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row>
    <row r="16" spans="1:72" ht="99" customHeight="1" x14ac:dyDescent="0.2">
      <c r="A16" s="379"/>
      <c r="B16" s="293"/>
      <c r="C16" s="388"/>
      <c r="D16" s="274"/>
      <c r="E16" s="274"/>
      <c r="F16" s="291"/>
      <c r="G16" s="274"/>
      <c r="H16" s="274"/>
      <c r="I16" s="274"/>
      <c r="J16" s="277"/>
      <c r="K16" s="317"/>
      <c r="L16" s="320"/>
      <c r="M16" s="274"/>
      <c r="N16" s="317"/>
      <c r="O16" s="320"/>
      <c r="P16" s="304"/>
      <c r="Q16" s="138">
        <v>2</v>
      </c>
      <c r="R16" s="54" t="s">
        <v>255</v>
      </c>
      <c r="S16" s="113" t="str">
        <f t="shared" si="6"/>
        <v>Probabilidad</v>
      </c>
      <c r="T16" s="134" t="s">
        <v>12</v>
      </c>
      <c r="U16" s="134" t="s">
        <v>7</v>
      </c>
      <c r="V16" s="60" t="str">
        <f t="shared" ref="V16" si="11">IF(AND(T16="Preventivo",U16="Automático"),"50%",IF(AND(T16="Preventivo",U16="Manual"),"40%",IF(AND(T16="Detectivo",U16="Automático"),"40%",IF(AND(T16="Detectivo",U16="Manual"),"30%",IF(AND(T16="Correctivo",U16="Automático"),"35%",IF(AND(T16="Correctivo",U16="Manual"),"25%",""))))))</f>
        <v>40%</v>
      </c>
      <c r="W16" s="134" t="s">
        <v>17</v>
      </c>
      <c r="X16" s="134" t="s">
        <v>20</v>
      </c>
      <c r="Y16" s="134" t="s">
        <v>86</v>
      </c>
      <c r="Z16" s="54" t="s">
        <v>256</v>
      </c>
      <c r="AA16" s="114">
        <f>IFERROR(IF(AND(S15="Probabilidad",S16="Probabilidad"),(AC15-(+AC15*V16)),IF(S16="Probabilidad",(L15-(+L15*V16)),IF(S16="Impacto",AC15,""))),"")</f>
        <v>0.216</v>
      </c>
      <c r="AB16" s="61" t="str">
        <f t="shared" ref="AB16" si="12">IFERROR(IF(AA16="","",IF(AA16&lt;=0.2,"Muy Baja",IF(AA16&lt;=0.4,"Baja",IF(AA16&lt;=0.6,"Media",IF(AA16&lt;=0.8,"Alta","Muy Alta"))))),"")</f>
        <v>Baja</v>
      </c>
      <c r="AC16" s="60">
        <f t="shared" ref="AC16" si="13">+AA16</f>
        <v>0.216</v>
      </c>
      <c r="AD16" s="61" t="str">
        <f t="shared" ref="AD16" si="14">IFERROR(IF(AE16="","",IF(AE16&lt;=0.2,"Leve",IF(AE16&lt;=0.4,"Menor",IF(AE16&lt;=0.6,"Moderado",IF(AE16&lt;=0.8,"Mayor","Catastrófico"))))),"")</f>
        <v>Catastrófico</v>
      </c>
      <c r="AE16" s="60">
        <f>IFERROR(IF(AND(S15="Impacto",S16="Impacto"),(AE15-(+AE15*V16)),IF(S16="Impacto",(#REF!-(+#REF!*V16)),IF(S16="Probabilidad",AE15,""))),"")</f>
        <v>1</v>
      </c>
      <c r="AF16" s="133" t="str">
        <f t="shared" ref="AF16" si="15">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Extremo</v>
      </c>
      <c r="AG16" s="269"/>
      <c r="AH16" s="286"/>
      <c r="AI16" s="274"/>
      <c r="AJ16" s="274"/>
      <c r="AK16" s="274"/>
      <c r="AL16" s="274"/>
      <c r="AM16" s="274"/>
      <c r="AN16" s="274"/>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row>
    <row r="17" spans="1:41" ht="124.5" customHeight="1" x14ac:dyDescent="0.2">
      <c r="A17" s="206" t="s">
        <v>253</v>
      </c>
      <c r="B17" s="138">
        <v>5</v>
      </c>
      <c r="C17" s="202" t="s">
        <v>471</v>
      </c>
      <c r="D17" s="194" t="s">
        <v>99</v>
      </c>
      <c r="E17" s="128" t="s">
        <v>257</v>
      </c>
      <c r="F17" s="129" t="s">
        <v>258</v>
      </c>
      <c r="G17" s="128" t="s">
        <v>90</v>
      </c>
      <c r="H17" s="128" t="s">
        <v>477</v>
      </c>
      <c r="I17" s="128" t="s">
        <v>340</v>
      </c>
      <c r="J17" s="127">
        <v>205</v>
      </c>
      <c r="K17" s="130" t="str">
        <f>IF(J17&lt;=0,"",IF(J17&lt;=2,"Muy Baja",IF(J17&lt;=24,"Baja",IF(J17&lt;=500,"Media",IF(J17&lt;=5000,"Alta","Muy Alta")))))</f>
        <v>Media</v>
      </c>
      <c r="L17" s="131">
        <f>'[3]Mapa final'!J13</f>
        <v>0.6</v>
      </c>
      <c r="M17" s="128">
        <f>+'Tabla Impacto'!Q26</f>
        <v>15</v>
      </c>
      <c r="N17" s="130" t="str">
        <f>IF(M17&lt;=3,"Leve",IF(M17&lt;=6,"Menor",IF(M17&lt;=10,"Moderado",IF(M17&lt;=14,"Mayor","Catastrófico"))))</f>
        <v>Catastrófico</v>
      </c>
      <c r="O17" s="200">
        <f>IF(N17:N17="","",IF(N17="Moderado",0.6,IF(N17="Mayor",0.8,IF(N17="Catastrófico",1,))))</f>
        <v>1</v>
      </c>
      <c r="P17" s="132" t="str">
        <f>'[3]Mapa final'!P13</f>
        <v>Extremo</v>
      </c>
      <c r="Q17" s="138">
        <v>1</v>
      </c>
      <c r="R17" s="54" t="s">
        <v>259</v>
      </c>
      <c r="S17" s="113" t="str">
        <f t="shared" si="6"/>
        <v>Probabilidad</v>
      </c>
      <c r="T17" s="134" t="s">
        <v>12</v>
      </c>
      <c r="U17" s="134" t="s">
        <v>7</v>
      </c>
      <c r="V17" s="60" t="str">
        <f>IF(AND(T17="Preventivo",U17="Automático"),"50%",IF(AND(T17="Preventivo",U17="Manual"),"40%",IF(AND(T17="Detectivo",U17="Automático"),"40%",IF(AND(T17="Detectivo",U17="Manual"),"30%",IF(AND(T17="Correctivo",U17="Automático"),"35%",IF(AND(T17="Correctivo",U17="Manual"),"25%",""))))))</f>
        <v>40%</v>
      </c>
      <c r="W17" s="134" t="s">
        <v>17</v>
      </c>
      <c r="X17" s="134" t="s">
        <v>20</v>
      </c>
      <c r="Y17" s="134" t="s">
        <v>86</v>
      </c>
      <c r="Z17" s="54" t="s">
        <v>260</v>
      </c>
      <c r="AA17" s="114">
        <f>IFERROR(IF(S17="Probabilidad",(L17-(+L17*V17)),IF(S17="Impacto",L17,"")),"")</f>
        <v>0.36</v>
      </c>
      <c r="AB17" s="61" t="str">
        <f>IFERROR(IF(AA17="","",IF(AA17&lt;=0.2,"Muy Baja",IF(AA17&lt;=0.4,"Baja",IF(AA17&lt;=0.6,"Media",IF(AA17&lt;=0.8,"Alta","Muy Alta"))))),"")</f>
        <v>Baja</v>
      </c>
      <c r="AC17" s="60">
        <f>+AA17</f>
        <v>0.36</v>
      </c>
      <c r="AD17" s="61" t="str">
        <f>IFERROR(IF(AE17="","",IF(AE17&lt;=0.2,"Leve",IF(AE17&lt;=0.4,"Menor",IF(AE17&lt;=0.6,"Moderado",IF(AE17&lt;=0.8,"Mayor","Catastrófico"))))),"")</f>
        <v>Catastrófico</v>
      </c>
      <c r="AE17" s="60">
        <f>IFERROR(IF(S17="Impacto",(O17-(+O17*V17)),IF(S17="Probabilidad",O17,"")),"")</f>
        <v>1</v>
      </c>
      <c r="AF17" s="133" t="str">
        <f>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Extremo</v>
      </c>
      <c r="AG17" s="133" t="str">
        <f>$AF$17</f>
        <v>Extremo</v>
      </c>
      <c r="AH17" s="134" t="s">
        <v>30</v>
      </c>
      <c r="AI17" s="128" t="s">
        <v>238</v>
      </c>
      <c r="AJ17" s="128" t="s">
        <v>238</v>
      </c>
      <c r="AK17" s="128" t="s">
        <v>238</v>
      </c>
      <c r="AL17" s="128" t="s">
        <v>238</v>
      </c>
      <c r="AM17" s="128" t="s">
        <v>238</v>
      </c>
      <c r="AN17" s="128" t="s">
        <v>238</v>
      </c>
    </row>
    <row r="18" spans="1:41" ht="141.75" customHeight="1" x14ac:dyDescent="0.2">
      <c r="A18" s="206" t="s">
        <v>261</v>
      </c>
      <c r="B18" s="138">
        <v>6</v>
      </c>
      <c r="C18" s="202" t="s">
        <v>474</v>
      </c>
      <c r="D18" s="194" t="str">
        <f>'[4]Mapa final'!B10</f>
        <v>Económico y Reputacional</v>
      </c>
      <c r="E18" s="128" t="str">
        <f>'[4]Mapa final'!D10</f>
        <v>Interes en favorecer a algún proveedor con el fin de obtener beneficio a nombre propio.</v>
      </c>
      <c r="F18" s="129" t="str">
        <f>'[4]Mapa final'!E10</f>
        <v>Posibilidad de Sanciones de los Entes de inspección vigilancia y control por la Exclusion del giro a proveedores y contratistas para presionar y obtener algun beneficio personal.</v>
      </c>
      <c r="G18" s="128" t="str">
        <f>'[4]Mapa final'!F10</f>
        <v>Usuarios, productos y practicas , organizacionales</v>
      </c>
      <c r="H18" s="128" t="str">
        <f>'[4]Mapa final'!G10</f>
        <v>Tesorería</v>
      </c>
      <c r="I18" s="128" t="s">
        <v>340</v>
      </c>
      <c r="J18" s="127">
        <f>'[4]Mapa final'!H10</f>
        <v>10950</v>
      </c>
      <c r="K18" s="130" t="str">
        <f>'[4]Mapa final'!I10</f>
        <v>Muy Alta</v>
      </c>
      <c r="L18" s="131">
        <f>'[4]Mapa final'!J10</f>
        <v>1</v>
      </c>
      <c r="M18" s="128">
        <f>+'Tabla Impacto'!S26</f>
        <v>16</v>
      </c>
      <c r="N18" s="130" t="str">
        <f t="shared" si="5"/>
        <v>Catastrofico</v>
      </c>
      <c r="O18" s="200">
        <v>1</v>
      </c>
      <c r="P18" s="132" t="str">
        <f>'[4]Mapa final'!P10</f>
        <v>Extremo</v>
      </c>
      <c r="Q18" s="138">
        <f>'[4]Mapa final'!Q10</f>
        <v>1</v>
      </c>
      <c r="R18" s="54" t="str">
        <f>'[4]Mapa final'!R10</f>
        <v xml:space="preserve">El tesorero mensualmente aplica lo establecido en el Procedimiento AF-PR-36 liquidación y Giro de Cuentas a fin de realizar la priorización de pagos, conforme a la llegada de las facturas y a los plazos de pago.
Resolución 048 de 2021 </v>
      </c>
      <c r="S18" s="113" t="str">
        <f>'[4]Mapa final'!S10</f>
        <v>Probabilidad</v>
      </c>
      <c r="T18" s="134" t="str">
        <f>'[4]Mapa final'!T10</f>
        <v>Preventivo</v>
      </c>
      <c r="U18" s="134" t="str">
        <f>'[4]Mapa final'!U10</f>
        <v>Manual</v>
      </c>
      <c r="V18" s="60" t="str">
        <f>'[4]Mapa final'!V10</f>
        <v>40%</v>
      </c>
      <c r="W18" s="134" t="str">
        <f>'[4]Mapa final'!W10</f>
        <v>Documentado</v>
      </c>
      <c r="X18" s="134" t="str">
        <f>'[4]Mapa final'!X10</f>
        <v>Continua</v>
      </c>
      <c r="Y18" s="134" t="str">
        <f>'[4]Mapa final'!Y10</f>
        <v>Con Registro</v>
      </c>
      <c r="Z18" s="54" t="str">
        <f>'[4]Mapa final'!Z10</f>
        <v>Informe segumiento plan financiero de cuentas por pagar.</v>
      </c>
      <c r="AA18" s="114">
        <f>'[4]Mapa final'!AA10</f>
        <v>0.6</v>
      </c>
      <c r="AB18" s="61" t="str">
        <f>'[4]Mapa final'!AB10</f>
        <v>Media</v>
      </c>
      <c r="AC18" s="60">
        <f>'[4]Mapa final'!AC10</f>
        <v>0.6</v>
      </c>
      <c r="AD18" s="61" t="str">
        <f>'[4]Mapa final'!AD10</f>
        <v>Catastrófico</v>
      </c>
      <c r="AE18" s="60">
        <f>'[4]Mapa final'!AE10</f>
        <v>1</v>
      </c>
      <c r="AF18" s="122" t="str">
        <f>'[4]Mapa final'!AF10</f>
        <v>Extremo</v>
      </c>
      <c r="AG18" s="122" t="str">
        <f>$AF$17</f>
        <v>Extremo</v>
      </c>
      <c r="AH18" s="134" t="str">
        <f>'[4]Mapa final'!AG10</f>
        <v>Reducir (mitigar)</v>
      </c>
      <c r="AI18" s="128" t="str">
        <f>'[4]Mapa final'!AH10</f>
        <v>Realizar seguimiento a la antigüedad de cuentas por pagar según lo definido en Procedimiento AF-PR-36 Liquidación y giro de cuentas</v>
      </c>
      <c r="AJ18" s="128" t="str">
        <f>'[4]Mapa final'!AI10</f>
        <v>Tesoreria</v>
      </c>
      <c r="AK18" s="135" t="str">
        <f>'[4]Mapa final'!AJ10</f>
        <v>Enero a Diciembre de 2023</v>
      </c>
      <c r="AL18" s="136" t="str">
        <f>'[4]Mapa final'!AK10</f>
        <v>Cuatrimestral</v>
      </c>
      <c r="AM18" s="128" t="str">
        <f>'[4]Mapa final'!AL10</f>
        <v xml:space="preserve"> Informe segumiento de cuentas por pagar.</v>
      </c>
      <c r="AN18" s="127" t="str">
        <f>'[4]Mapa final'!AM10</f>
        <v>En curso</v>
      </c>
    </row>
    <row r="19" spans="1:41" ht="150" customHeight="1" x14ac:dyDescent="0.2">
      <c r="A19" s="207" t="s">
        <v>277</v>
      </c>
      <c r="B19" s="138">
        <v>7</v>
      </c>
      <c r="C19" s="202" t="s">
        <v>474</v>
      </c>
      <c r="D19" s="194" t="s">
        <v>98</v>
      </c>
      <c r="E19" s="128" t="s">
        <v>262</v>
      </c>
      <c r="F19" s="129" t="s">
        <v>263</v>
      </c>
      <c r="G19" s="128" t="s">
        <v>90</v>
      </c>
      <c r="H19" s="128" t="s">
        <v>264</v>
      </c>
      <c r="I19" s="128" t="s">
        <v>340</v>
      </c>
      <c r="J19" s="127">
        <v>501</v>
      </c>
      <c r="K19" s="130" t="str">
        <f>IF(J19&lt;=0,"",IF(J19&lt;=2,"Muy Baja",IF(J19&lt;=24,"Baja",IF(J19&lt;=500,"Media",IF(J19&lt;=5000,"Alta","Muy Alta")))))</f>
        <v>Alta</v>
      </c>
      <c r="L19" s="131">
        <f>'[5]Mapa final'!J10</f>
        <v>0.8</v>
      </c>
      <c r="M19" s="128">
        <f>+'Tabla Impacto'!U26</f>
        <v>13</v>
      </c>
      <c r="N19" s="130" t="str">
        <f t="shared" si="5"/>
        <v>Mayor</v>
      </c>
      <c r="O19" s="200">
        <f>IF(N19="","",IF(N19="Moderado",0.6,IF(N19="Mayor",0.8,IF(N19="Catastrófico",1,))))</f>
        <v>0.8</v>
      </c>
      <c r="P19" s="137" t="str">
        <f>'[5]Mapa final'!P10</f>
        <v>Extremo</v>
      </c>
      <c r="Q19" s="138">
        <v>1</v>
      </c>
      <c r="R19" s="120" t="s">
        <v>265</v>
      </c>
      <c r="S19" s="113" t="str">
        <f t="shared" ref="S19:S20" si="16">IF(OR(T19="Preventivo",T19="Detectivo"),"Probabilidad",IF(T19="Correctivo","Impacto",""))</f>
        <v>Probabilidad</v>
      </c>
      <c r="T19" s="134" t="s">
        <v>13</v>
      </c>
      <c r="U19" s="134" t="s">
        <v>7</v>
      </c>
      <c r="V19" s="60" t="str">
        <f>IF(AND(T19="Preventivo",U19="Automático"),"50%",IF(AND(T19="Preventivo",U19="Manual"),"40%",IF(AND(T19="Detectivo",U19="Automático"),"40%",IF(AND(T19="Detectivo",U19="Manual"),"30%",IF(AND(T19="Correctivo",U19="Automático"),"35%",IF(AND(T19="Correctivo",U19="Manual"),"25%",""))))))</f>
        <v>30%</v>
      </c>
      <c r="W19" s="134" t="s">
        <v>17</v>
      </c>
      <c r="X19" s="134" t="s">
        <v>20</v>
      </c>
      <c r="Y19" s="134" t="s">
        <v>86</v>
      </c>
      <c r="Z19" s="54" t="s">
        <v>266</v>
      </c>
      <c r="AA19" s="114">
        <f>IFERROR(IF(S19="Probabilidad",(L19-(+L19*V19)),IF(S19="Impacto",L19,"")),"")</f>
        <v>0.56000000000000005</v>
      </c>
      <c r="AB19" s="61" t="str">
        <f>IFERROR(IF(AA19="","",IF(AA19&lt;=0.2,"Muy Baja",IF(AA19&lt;=0.4,"Baja",IF(AA19&lt;=0.6,"Media",IF(AA19&lt;=0.8,"Alta","Muy Alta"))))),"")</f>
        <v>Media</v>
      </c>
      <c r="AC19" s="60">
        <f>+AA19</f>
        <v>0.56000000000000005</v>
      </c>
      <c r="AD19" s="61" t="str">
        <f>IFERROR(IF(AE19="","",IF(AE19&lt;=0.2,"Leve",IF(AE19&lt;=0.4,"Menor",IF(AE19&lt;=0.6,"Moderado",IF(AE19&lt;=0.8,"Mayor","Catastrófico"))))),"")</f>
        <v>Mayor</v>
      </c>
      <c r="AE19" s="60">
        <f>IFERROR(IF(S19="Impacto",(O19-(+O19*V19)),IF(S19="Probabilidad",O19,"")),"")</f>
        <v>0.8</v>
      </c>
      <c r="AF19" s="133" t="str">
        <f>IFERROR(IF(OR(AND(AB19="Muy Baja",AD19="Leve"),AND(AB19="Muy Baja",AD19="Menor"),AND(AB19="Baja",AD19="Leve")),"Bajo",IF(OR(AND(AB19="Muy baja",AD19="Moderado"),AND(AB19="Baja",AD19="Menor"),AND(AB19="Baja",AD19="Moderado"),AND(AB19="Media",AD19="Leve"),AND(AB19="Media",AD19="Menor"),AND(AB19="Media",AD19="Moderado"),AND(AB19="Alta",AD19="Leve"),AND(AB19="Alta",AD19="Menor")),"Moderado",IF(OR(AND(AB19="Muy Baja",AD19="Mayor"),AND(AB19="Baja",AD19="Mayor"),AND(AB19="Media",AD19="Mayor"),AND(AB19="Alta",AD19="Moderado"),AND(AB19="Alta",AD19="Mayor"),AND(AB19="Muy Alta",AD19="Leve"),AND(AB19="Muy Alta",AD19="Menor"),AND(AB19="Muy Alta",AD19="Moderado"),AND(AB19="Muy Alta",AD19="Mayor")),"Alto",IF(OR(AND(AB19="Muy Baja",AD19="Catastrófico"),AND(AB19="Baja",AD19="Catastrófico"),AND(AB19="Media",AD19="Catastrófico"),AND(AB19="Alta",AD19="Catastrófico"),AND(AB19="Muy Alta",AD19="Catastrófico")),"Extremo","")))),"")</f>
        <v>Alto</v>
      </c>
      <c r="AG19" s="133" t="str">
        <f>$AF$19</f>
        <v>Alto</v>
      </c>
      <c r="AH19" s="134" t="s">
        <v>30</v>
      </c>
      <c r="AI19" s="128" t="s">
        <v>238</v>
      </c>
      <c r="AJ19" s="128" t="s">
        <v>238</v>
      </c>
      <c r="AK19" s="128" t="s">
        <v>238</v>
      </c>
      <c r="AL19" s="128" t="s">
        <v>238</v>
      </c>
      <c r="AM19" s="128" t="s">
        <v>238</v>
      </c>
      <c r="AN19" s="128" t="s">
        <v>238</v>
      </c>
      <c r="AO19" s="112"/>
    </row>
    <row r="20" spans="1:41" ht="140.25" x14ac:dyDescent="0.2">
      <c r="A20" s="207" t="s">
        <v>277</v>
      </c>
      <c r="B20" s="138">
        <v>8</v>
      </c>
      <c r="C20" s="202" t="s">
        <v>471</v>
      </c>
      <c r="D20" s="194" t="s">
        <v>98</v>
      </c>
      <c r="E20" s="128" t="s">
        <v>267</v>
      </c>
      <c r="F20" s="129" t="s">
        <v>268</v>
      </c>
      <c r="G20" s="128" t="s">
        <v>90</v>
      </c>
      <c r="H20" s="128" t="s">
        <v>269</v>
      </c>
      <c r="I20" s="128" t="s">
        <v>340</v>
      </c>
      <c r="J20" s="127">
        <f>365*43</f>
        <v>15695</v>
      </c>
      <c r="K20" s="130" t="str">
        <f>IF(J20&lt;=0,"",IF(J20&lt;=2,"Muy Baja",IF(J20&lt;=24,"Baja",IF(J20&lt;=500,"Media",IF(J20&lt;=5000,"Alta","Muy Alta")))))</f>
        <v>Muy Alta</v>
      </c>
      <c r="L20" s="131">
        <f>'[5]Mapa final'!J13</f>
        <v>1</v>
      </c>
      <c r="M20" s="128">
        <f>'Tabla Impacto'!W26</f>
        <v>13</v>
      </c>
      <c r="N20" s="130" t="str">
        <f t="shared" si="5"/>
        <v>Mayor</v>
      </c>
      <c r="O20" s="200">
        <f t="shared" ref="O20:O50" si="17">IF(N20="","",IF(N20="Moderado",0.6,IF(N20="Mayor",0.8,IF(N20="Catastrófico",1,))))</f>
        <v>0.8</v>
      </c>
      <c r="P20" s="137" t="str">
        <f>'[5]Mapa final'!P13</f>
        <v>Extremo</v>
      </c>
      <c r="Q20" s="138">
        <v>1</v>
      </c>
      <c r="R20" s="54" t="s">
        <v>270</v>
      </c>
      <c r="S20" s="113" t="str">
        <f t="shared" si="16"/>
        <v>Probabilidad</v>
      </c>
      <c r="T20" s="134" t="s">
        <v>12</v>
      </c>
      <c r="U20" s="134" t="s">
        <v>7</v>
      </c>
      <c r="V20" s="60" t="str">
        <f t="shared" ref="V20" si="18">IF(AND(T20="Preventivo",U20="Automático"),"50%",IF(AND(T20="Preventivo",U20="Manual"),"40%",IF(AND(T20="Detectivo",U20="Automático"),"40%",IF(AND(T20="Detectivo",U20="Manual"),"30%",IF(AND(T20="Correctivo",U20="Automático"),"35%",IF(AND(T20="Correctivo",U20="Manual"),"25%",""))))))</f>
        <v>40%</v>
      </c>
      <c r="W20" s="134" t="s">
        <v>18</v>
      </c>
      <c r="X20" s="134" t="s">
        <v>20</v>
      </c>
      <c r="Y20" s="134" t="s">
        <v>86</v>
      </c>
      <c r="Z20" s="54" t="s">
        <v>271</v>
      </c>
      <c r="AA20" s="114">
        <f>IFERROR(IF(S20="Probabilidad",(L20-(+L20*V20)),IF(S20="Impacto",L20,"")),"")</f>
        <v>0.6</v>
      </c>
      <c r="AB20" s="61" t="str">
        <f>IFERROR(IF(AA20="","",IF(AA20&lt;=0.2,"Muy Baja",IF(AA20&lt;=0.4,"Baja",IF(AA20&lt;=0.6,"Media",IF(AA20&lt;=0.8,"Alta","Muy Alta"))))),"")</f>
        <v>Media</v>
      </c>
      <c r="AC20" s="60">
        <f>+AA20</f>
        <v>0.6</v>
      </c>
      <c r="AD20" s="61" t="str">
        <f>IFERROR(IF(AE20="","",IF(AE20&lt;=0.2,"Leve",IF(AE20&lt;=0.4,"Menor",IF(AE20&lt;=0.6,"Moderado",IF(AE20&lt;=0.8,"Mayor","Catastrófico"))))),"")</f>
        <v>Mayor</v>
      </c>
      <c r="AE20" s="60">
        <f>IFERROR(IF(S20="Impacto",(O20-(+O20*V20)),IF(S20="Probabilidad",O20,"")),"")</f>
        <v>0.8</v>
      </c>
      <c r="AF20" s="133" t="str">
        <f>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Alto</v>
      </c>
      <c r="AG20" s="133" t="str">
        <f>$AF$20</f>
        <v>Alto</v>
      </c>
      <c r="AH20" s="134" t="s">
        <v>30</v>
      </c>
      <c r="AI20" s="128" t="s">
        <v>238</v>
      </c>
      <c r="AJ20" s="128" t="s">
        <v>238</v>
      </c>
      <c r="AK20" s="128" t="s">
        <v>238</v>
      </c>
      <c r="AL20" s="128" t="s">
        <v>238</v>
      </c>
      <c r="AM20" s="128" t="s">
        <v>238</v>
      </c>
      <c r="AN20" s="128" t="s">
        <v>238</v>
      </c>
    </row>
    <row r="21" spans="1:41" ht="134.25" customHeight="1" x14ac:dyDescent="0.2">
      <c r="A21" s="207" t="s">
        <v>277</v>
      </c>
      <c r="B21" s="138">
        <v>9</v>
      </c>
      <c r="C21" s="202" t="s">
        <v>471</v>
      </c>
      <c r="D21" s="194" t="s">
        <v>98</v>
      </c>
      <c r="E21" s="128" t="s">
        <v>274</v>
      </c>
      <c r="F21" s="129" t="s">
        <v>275</v>
      </c>
      <c r="G21" s="128" t="s">
        <v>90</v>
      </c>
      <c r="H21" s="128" t="s">
        <v>276</v>
      </c>
      <c r="I21" s="128" t="s">
        <v>340</v>
      </c>
      <c r="J21" s="127">
        <v>365</v>
      </c>
      <c r="K21" s="130" t="str">
        <f>IF(J21&lt;=0,"",IF(J21&lt;=2,"Muy Baja",IF(J21&lt;=24,"Baja",IF(J21&lt;=500,"Media",IF(J21&lt;=5000,"Alta","Muy Alta")))))</f>
        <v>Media</v>
      </c>
      <c r="L21" s="131">
        <f>'[5]Mapa final'!J16</f>
        <v>0.6</v>
      </c>
      <c r="M21" s="128">
        <f>+'Tabla Impacto'!Y26</f>
        <v>7</v>
      </c>
      <c r="N21" s="130" t="str">
        <f t="shared" si="5"/>
        <v>Moderado</v>
      </c>
      <c r="O21" s="200">
        <f t="shared" si="17"/>
        <v>0.6</v>
      </c>
      <c r="P21" s="137" t="str">
        <f>'[5]Mapa final'!P16</f>
        <v>Alto</v>
      </c>
      <c r="Q21" s="138">
        <v>1</v>
      </c>
      <c r="R21" s="54" t="s">
        <v>272</v>
      </c>
      <c r="S21" s="113" t="str">
        <f t="shared" ref="S21" si="19">IF(OR(T21="Preventivo",T21="Detectivo"),"Probabilidad",IF(T21="Correctivo","Impacto",""))</f>
        <v>Probabilidad</v>
      </c>
      <c r="T21" s="134" t="s">
        <v>12</v>
      </c>
      <c r="U21" s="134" t="s">
        <v>7</v>
      </c>
      <c r="V21" s="60" t="str">
        <f>IF(AND(T21="Preventivo",U21="Automático"),"50%",IF(AND(T21="Preventivo",U21="Manual"),"40%",IF(AND(T21="Detectivo",U21="Automático"),"40%",IF(AND(T21="Detectivo",U21="Manual"),"30%",IF(AND(T21="Correctivo",U21="Automático"),"35%",IF(AND(T21="Correctivo",U21="Manual"),"25%",""))))))</f>
        <v>40%</v>
      </c>
      <c r="W21" s="134" t="s">
        <v>17</v>
      </c>
      <c r="X21" s="134" t="s">
        <v>20</v>
      </c>
      <c r="Y21" s="134" t="s">
        <v>86</v>
      </c>
      <c r="Z21" s="54" t="s">
        <v>273</v>
      </c>
      <c r="AA21" s="114">
        <f>IFERROR(IF(S21="Probabilidad",(L21-(+L21*V21)),IF(S21="Impacto",L21,"")),"")</f>
        <v>0.36</v>
      </c>
      <c r="AB21" s="61" t="str">
        <f>IFERROR(IF(AA21="","",IF(AA21&lt;=0.2,"Muy Baja",IF(AA21&lt;=0.4,"Baja",IF(AA21&lt;=0.6,"Media",IF(AA21&lt;=0.8,"Alta","Muy Alta"))))),"")</f>
        <v>Baja</v>
      </c>
      <c r="AC21" s="60">
        <f>+AA21</f>
        <v>0.36</v>
      </c>
      <c r="AD21" s="61" t="str">
        <f>IFERROR(IF(AE21="","",IF(AE21&lt;=0.2,"Leve",IF(AE21&lt;=0.4,"Menor",IF(AE21&lt;=0.6,"Moderado",IF(AE21&lt;=0.8,"Mayor","Catastrófico"))))),"")</f>
        <v>Moderado</v>
      </c>
      <c r="AE21" s="60">
        <f>IFERROR(IF(S21="Impacto",(O21-(+O21*V21)),IF(S21="Probabilidad",O21,"")),"")</f>
        <v>0.6</v>
      </c>
      <c r="AF21" s="133" t="str">
        <f>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Moderado</v>
      </c>
      <c r="AG21" s="133" t="str">
        <f>$AF$21</f>
        <v>Moderado</v>
      </c>
      <c r="AH21" s="134" t="s">
        <v>30</v>
      </c>
      <c r="AI21" s="128" t="s">
        <v>238</v>
      </c>
      <c r="AJ21" s="128" t="s">
        <v>238</v>
      </c>
      <c r="AK21" s="128" t="s">
        <v>238</v>
      </c>
      <c r="AL21" s="128" t="s">
        <v>238</v>
      </c>
      <c r="AM21" s="128" t="s">
        <v>238</v>
      </c>
      <c r="AN21" s="128" t="s">
        <v>238</v>
      </c>
    </row>
    <row r="22" spans="1:41" ht="153" x14ac:dyDescent="0.2">
      <c r="A22" s="347" t="s">
        <v>278</v>
      </c>
      <c r="B22" s="292">
        <v>10</v>
      </c>
      <c r="C22" s="386" t="s">
        <v>474</v>
      </c>
      <c r="D22" s="298" t="str">
        <f>'[6]Mapa final'!B10</f>
        <v>Reputacional</v>
      </c>
      <c r="E22" s="272" t="str">
        <f>'[6]Mapa final'!D10</f>
        <v>* Falta de compromiso e identidad del personal que labora en archivo central y de gestión, frente  a  la responsabilidad del manejo de la información.</v>
      </c>
      <c r="F22" s="290" t="str">
        <f>'[6]Mapa final'!E10</f>
        <v xml:space="preserve"> Posibilidad de  Investigaciones y sanciones disciplinarias y punitivas por Utilización indebida y sustracción de la información física  por parte del personal de la entidad.</v>
      </c>
      <c r="G22" s="272" t="str">
        <f>'[6]Mapa final'!F10</f>
        <v>Usuarios, productos y practicas , organizacionales</v>
      </c>
      <c r="H22" s="272" t="str">
        <f>'[6]Mapa final'!G10</f>
        <v>Gestión Documental</v>
      </c>
      <c r="I22" s="272" t="s">
        <v>340</v>
      </c>
      <c r="J22" s="275">
        <f>'[6]Mapa final'!H10</f>
        <v>365</v>
      </c>
      <c r="K22" s="315" t="str">
        <f>'[6]Mapa final'!I10</f>
        <v>Media</v>
      </c>
      <c r="L22" s="318">
        <f>'[6]Mapa final'!J10</f>
        <v>0.6</v>
      </c>
      <c r="M22" s="272">
        <f>+'Tabla Impacto'!AA26</f>
        <v>12</v>
      </c>
      <c r="N22" s="315" t="str">
        <f t="shared" si="5"/>
        <v>Mayor</v>
      </c>
      <c r="O22" s="200">
        <f t="shared" si="17"/>
        <v>0.8</v>
      </c>
      <c r="P22" s="323" t="str">
        <f>'[6]Mapa final'!P10</f>
        <v>Extremo</v>
      </c>
      <c r="Q22" s="138">
        <f>'[6]Mapa final'!Q10</f>
        <v>1</v>
      </c>
      <c r="R22" s="54" t="str">
        <f>'[6]Mapa final'!R10</f>
        <v>El grupo de Gestión Documental verifica la competencia y cumplimiento de los pasos a seguir, para consulta y préstamo de documentos mediante los Procedimientos GD-PR-13 consulta de documentos en archivos de gestión documental y  GD-PR-15 Préstamo de documentos en Archivos de Gestión y  realiza trazabilidad mediante los formatos GD- F-01 de control consulta y préstamos de documentos institucionales, y el Formato GD-F-20 Préstamo de Documentos en archivos de gestión</v>
      </c>
      <c r="S22" s="113" t="str">
        <f>'[6]Mapa final'!S10</f>
        <v>Probabilidad</v>
      </c>
      <c r="T22" s="134" t="str">
        <f>'[6]Mapa final'!T10</f>
        <v>Preventivo</v>
      </c>
      <c r="U22" s="134" t="str">
        <f>'[6]Mapa final'!U10</f>
        <v>Manual</v>
      </c>
      <c r="V22" s="60" t="str">
        <f>'[6]Mapa final'!V10</f>
        <v>40%</v>
      </c>
      <c r="W22" s="134" t="str">
        <f>'[6]Mapa final'!W10</f>
        <v>Documentado</v>
      </c>
      <c r="X22" s="134" t="str">
        <f>'[6]Mapa final'!X10</f>
        <v>Continua</v>
      </c>
      <c r="Y22" s="134" t="str">
        <f>'[6]Mapa final'!Y10</f>
        <v>Con Registro</v>
      </c>
      <c r="Z22" s="54" t="str">
        <f>'[6]Mapa final'!Z10</f>
        <v>Diligenciamiento del formato GD- F-01 de control consulta y préstamos de documentos de archivo
Informe mensual del lider del proceso de gestion documental.
Formato  Prestamo Documentos Archivo de Gestión GD-F-20</v>
      </c>
      <c r="AA22" s="114">
        <f>'[6]Mapa final'!AA10</f>
        <v>0.36</v>
      </c>
      <c r="AB22" s="61" t="str">
        <f>'[6]Mapa final'!AB10</f>
        <v>Baja</v>
      </c>
      <c r="AC22" s="60">
        <f>'[6]Mapa final'!AC10</f>
        <v>0.36</v>
      </c>
      <c r="AD22" s="61" t="str">
        <f>'[6]Mapa final'!AD10</f>
        <v>Catastrófico</v>
      </c>
      <c r="AE22" s="60">
        <f>'[6]Mapa final'!AE10</f>
        <v>1</v>
      </c>
      <c r="AF22" s="133" t="str">
        <f>'[6]Mapa final'!AF10</f>
        <v>Extremo</v>
      </c>
      <c r="AG22" s="268" t="str">
        <f>'[6]Mapa final'!AG10</f>
        <v>Extremo</v>
      </c>
      <c r="AH22" s="284" t="str">
        <f>'[6]Mapa final'!AH10</f>
        <v>Reducir (mitigar)</v>
      </c>
      <c r="AI22" s="272" t="str">
        <f>'[6]Mapa final'!AI10</f>
        <v>Verificar que se cumplan los tiempos estipulados para el prestamo de documentos</v>
      </c>
      <c r="AJ22" s="272" t="str">
        <f>'[6]Mapa final'!AJ10</f>
        <v>Coordinador de Gestión Documental y Líder de Archivo de Historia Clínica</v>
      </c>
      <c r="AK22" s="287" t="str">
        <f>'[6]Mapa final'!AK10</f>
        <v>Enero a Diciembre de 2023</v>
      </c>
      <c r="AL22" s="265" t="str">
        <f>'[6]Mapa final'!AL10</f>
        <v>Cuatrimestral</v>
      </c>
      <c r="AM22" s="272" t="str">
        <f>'[6]Mapa final'!AM10</f>
        <v>Formato  Prestamo Documentos Archivo de Gestión GD-F-20
AHC-F-06 Registro Relación solicitud y entrega de copias de Historia Clínica</v>
      </c>
      <c r="AN22" s="275" t="str">
        <f>'[6]Mapa final'!AN10</f>
        <v>En curso</v>
      </c>
    </row>
    <row r="23" spans="1:41" ht="134.25" customHeight="1" x14ac:dyDescent="0.2">
      <c r="A23" s="349"/>
      <c r="B23" s="294"/>
      <c r="C23" s="388"/>
      <c r="D23" s="274"/>
      <c r="E23" s="274"/>
      <c r="F23" s="291"/>
      <c r="G23" s="274"/>
      <c r="H23" s="274"/>
      <c r="I23" s="274"/>
      <c r="J23" s="277"/>
      <c r="K23" s="317"/>
      <c r="L23" s="320"/>
      <c r="M23" s="274"/>
      <c r="N23" s="317"/>
      <c r="O23" s="153" t="str">
        <f t="shared" si="17"/>
        <v/>
      </c>
      <c r="P23" s="324"/>
      <c r="Q23" s="138">
        <f>'[6]Mapa final'!Q11</f>
        <v>2</v>
      </c>
      <c r="R23" s="54" t="str">
        <f>'[6]Mapa final'!R11</f>
        <v>El personal de HC verifica la solicitud y ejecuta los pasos a seguir para el préstamo y consulta de historias clíncias mediante el procedimiento AHC-PR-04.</v>
      </c>
      <c r="S23" s="113" t="str">
        <f>'[6]Mapa final'!S11</f>
        <v>Probabilidad</v>
      </c>
      <c r="T23" s="134" t="str">
        <f>'[6]Mapa final'!T11</f>
        <v>Preventivo</v>
      </c>
      <c r="U23" s="134" t="str">
        <f>'[6]Mapa final'!U11</f>
        <v>Manual</v>
      </c>
      <c r="V23" s="60" t="str">
        <f>'[6]Mapa final'!V11</f>
        <v>40%</v>
      </c>
      <c r="W23" s="134" t="str">
        <f>'[6]Mapa final'!W11</f>
        <v>Documentado</v>
      </c>
      <c r="X23" s="134" t="str">
        <f>'[6]Mapa final'!X11</f>
        <v>continua</v>
      </c>
      <c r="Y23" s="134" t="str">
        <f>'[6]Mapa final'!Y11</f>
        <v>Con Registro</v>
      </c>
      <c r="Z23" s="54" t="str">
        <f>'[6]Mapa final'!Z11</f>
        <v xml:space="preserve">Diligenciamiento de formato AHC-F-06 Registro Relación solicitud y entrega de copias de Historia Clínica
</v>
      </c>
      <c r="AA23" s="114">
        <f>'[6]Mapa final'!AA11</f>
        <v>0.216</v>
      </c>
      <c r="AB23" s="61" t="str">
        <f>'[6]Mapa final'!AB11</f>
        <v>Baja</v>
      </c>
      <c r="AC23" s="60">
        <f>'[6]Mapa final'!AC11</f>
        <v>0.216</v>
      </c>
      <c r="AD23" s="61" t="str">
        <f>'[6]Mapa final'!AD11</f>
        <v>Catastrófico</v>
      </c>
      <c r="AE23" s="60">
        <f>'[6]Mapa final'!AE11</f>
        <v>1</v>
      </c>
      <c r="AF23" s="133" t="str">
        <f>'[6]Mapa final'!AF11</f>
        <v>Extremo</v>
      </c>
      <c r="AG23" s="269"/>
      <c r="AH23" s="286"/>
      <c r="AI23" s="274"/>
      <c r="AJ23" s="274"/>
      <c r="AK23" s="289"/>
      <c r="AL23" s="267"/>
      <c r="AM23" s="274"/>
      <c r="AN23" s="277"/>
    </row>
    <row r="24" spans="1:41" ht="127.5" x14ac:dyDescent="0.2">
      <c r="A24" s="209" t="s">
        <v>279</v>
      </c>
      <c r="B24" s="138">
        <v>11</v>
      </c>
      <c r="C24" s="202" t="s">
        <v>471</v>
      </c>
      <c r="D24" s="194" t="str">
        <f>'[7]Mapa final'!B10</f>
        <v>Económico</v>
      </c>
      <c r="E24" s="128" t="str">
        <f>'[7]Mapa final'!D10</f>
        <v>No seguimiento  efectivo de los procesos  judiciales</v>
      </c>
      <c r="F24" s="129" t="str">
        <f>'[7]Mapa final'!E10</f>
        <v xml:space="preserve">Posibilidad de providencias en contra de la institución, por inefectivo seguimiento a procesos judiciales o favorecimiento a la parte demandante al ejercer una defensa judicial  </v>
      </c>
      <c r="G24" s="128" t="str">
        <f>'[7]Mapa final'!F10</f>
        <v>Ejecucion y Administracion de procesos</v>
      </c>
      <c r="H24" s="128" t="str">
        <f>'[7]Mapa final'!G10</f>
        <v xml:space="preserve">Gestión Jurídica </v>
      </c>
      <c r="I24" s="128" t="s">
        <v>340</v>
      </c>
      <c r="J24" s="127">
        <f>'[7]Mapa final'!H10</f>
        <v>24</v>
      </c>
      <c r="K24" s="130" t="str">
        <f>'[7]Mapa final'!I10</f>
        <v>Baja</v>
      </c>
      <c r="L24" s="131">
        <f>'[7]Mapa final'!J10</f>
        <v>0.4</v>
      </c>
      <c r="M24" s="128">
        <f>+'Tabla Impacto'!AC26</f>
        <v>9</v>
      </c>
      <c r="N24" s="130" t="str">
        <f t="shared" si="5"/>
        <v>Moderado</v>
      </c>
      <c r="O24" s="200">
        <f t="shared" si="17"/>
        <v>0.6</v>
      </c>
      <c r="P24" s="132" t="str">
        <f>'[7]Mapa final'!P10</f>
        <v>Alto</v>
      </c>
      <c r="Q24" s="138">
        <f>'[7]Mapa final'!Q10</f>
        <v>1</v>
      </c>
      <c r="R24" s="54" t="str">
        <f>'[7]Mapa final'!R10</f>
        <v>Los abogados de la oficina jurídica realizan seguimiento diario a los procesos judiciales frente a términos para defensa técnica y a la trazabilidad de los mismos conforme a lo establecido en el procedimiento OAJ-PR-05 Mediante matriz general de proceso OAJ-F-18</v>
      </c>
      <c r="S24" s="113" t="str">
        <f>'[7]Mapa final'!S10</f>
        <v>Probabilidad</v>
      </c>
      <c r="T24" s="134" t="str">
        <f>'[7]Mapa final'!T10</f>
        <v>Preventivo</v>
      </c>
      <c r="U24" s="134" t="str">
        <f>'[7]Mapa final'!U10</f>
        <v>Manual</v>
      </c>
      <c r="V24" s="60" t="str">
        <f>'[7]Mapa final'!V10</f>
        <v>40%</v>
      </c>
      <c r="W24" s="134" t="str">
        <f>'[7]Mapa final'!W10</f>
        <v>Documentado</v>
      </c>
      <c r="X24" s="134" t="str">
        <f>'[7]Mapa final'!X10</f>
        <v>Continua</v>
      </c>
      <c r="Y24" s="134" t="str">
        <f>'[7]Mapa final'!Y10</f>
        <v>Con Registro</v>
      </c>
      <c r="Z24" s="54" t="str">
        <f>'[7]Mapa final'!Z10</f>
        <v xml:space="preserve">OAJ-F-18 Matriz General de procesos, Informe trimestral al Comité de Conciliación por parte de la secretario técnica
 </v>
      </c>
      <c r="AA24" s="114">
        <f>'[7]Mapa final'!AA10</f>
        <v>0.24</v>
      </c>
      <c r="AB24" s="61" t="str">
        <f>'[7]Mapa final'!AB10</f>
        <v>Baja</v>
      </c>
      <c r="AC24" s="60">
        <f>'[7]Mapa final'!AC10</f>
        <v>0.24</v>
      </c>
      <c r="AD24" s="61" t="str">
        <f>'[7]Mapa final'!AD10</f>
        <v>Mayor</v>
      </c>
      <c r="AE24" s="60">
        <f>'[7]Mapa final'!AE10</f>
        <v>0.8</v>
      </c>
      <c r="AF24" s="133" t="str">
        <f>'[7]Mapa final'!AF10</f>
        <v>Alto</v>
      </c>
      <c r="AG24" s="133" t="str">
        <f>$AF$24</f>
        <v>Alto</v>
      </c>
      <c r="AH24" s="134" t="str">
        <f>'[7]Mapa final'!AG10</f>
        <v>Reducir (mitigar)</v>
      </c>
      <c r="AI24" s="128" t="str">
        <f>'[7]Mapa final'!AH10</f>
        <v xml:space="preserve"> Realizar seguimiento al cumplimiento de los términos judiciales de acuerdo a la defensa técnica de la institución teniendo en cuenta la trazabilidad de procesos y las actividades programadas dentro de los mismos.</v>
      </c>
      <c r="AJ24" s="128" t="str">
        <f>'[7]Mapa final'!AI10</f>
        <v>Asesor Jurídico</v>
      </c>
      <c r="AK24" s="135" t="str">
        <f>'[7]Mapa final'!AJ10</f>
        <v>Enero a diciembre 2023</v>
      </c>
      <c r="AL24" s="136" t="str">
        <f>'[7]Mapa final'!AK10</f>
        <v>Cuatrimestral</v>
      </c>
      <c r="AM24" s="128" t="str">
        <f>'[7]Mapa final'!AL10</f>
        <v>OAJ-F-18 Matriz general de procesos</v>
      </c>
      <c r="AN24" s="127" t="str">
        <f>'[7]Mapa final'!AM10</f>
        <v>En curso</v>
      </c>
    </row>
    <row r="25" spans="1:41" ht="112.5" customHeight="1" x14ac:dyDescent="0.2">
      <c r="A25" s="347" t="s">
        <v>290</v>
      </c>
      <c r="B25" s="292">
        <v>12</v>
      </c>
      <c r="C25" s="386" t="s">
        <v>471</v>
      </c>
      <c r="D25" s="298" t="s">
        <v>98</v>
      </c>
      <c r="E25" s="272" t="s">
        <v>280</v>
      </c>
      <c r="F25" s="290" t="s">
        <v>281</v>
      </c>
      <c r="G25" s="272" t="s">
        <v>90</v>
      </c>
      <c r="H25" s="272" t="s">
        <v>282</v>
      </c>
      <c r="I25" s="272" t="s">
        <v>340</v>
      </c>
      <c r="J25" s="275">
        <v>24</v>
      </c>
      <c r="K25" s="315" t="str">
        <f>IF(J25&lt;=0,"",IF(J25&lt;=2,"Muy Baja",IF(J25&lt;=24,"Baja",IF(J25&lt;=500,"Media",IF(J25&lt;=5000,"Alta","Muy Alta")))))</f>
        <v>Baja</v>
      </c>
      <c r="L25" s="318">
        <f>'[8]Mapa final'!J10</f>
        <v>0.4</v>
      </c>
      <c r="M25" s="272">
        <f>'Tabla Impacto'!AE26</f>
        <v>11</v>
      </c>
      <c r="N25" s="315" t="str">
        <f t="shared" si="5"/>
        <v>Mayor</v>
      </c>
      <c r="O25" s="200">
        <f t="shared" si="17"/>
        <v>0.8</v>
      </c>
      <c r="P25" s="302" t="str">
        <f>'[8]Mapa final'!P10</f>
        <v>Alto</v>
      </c>
      <c r="Q25" s="138">
        <v>1</v>
      </c>
      <c r="R25" s="119" t="s">
        <v>343</v>
      </c>
      <c r="S25" s="113" t="str">
        <f t="shared" ref="S25:S29" si="20">IF(OR(T25="Preventivo",T25="Detectivo"),"Probabilidad",IF(T25="Correctivo","Impacto",""))</f>
        <v>Probabilidad</v>
      </c>
      <c r="T25" s="134" t="s">
        <v>12</v>
      </c>
      <c r="U25" s="134" t="s">
        <v>7</v>
      </c>
      <c r="V25" s="60" t="str">
        <f t="shared" ref="V25:V26" si="21">IF(AND(T25="Preventivo",U25="Automático"),"50%",IF(AND(T25="Preventivo",U25="Manual"),"40%",IF(AND(T25="Detectivo",U25="Automático"),"40%",IF(AND(T25="Detectivo",U25="Manual"),"30%",IF(AND(T25="Correctivo",U25="Automático"),"35%",IF(AND(T25="Correctivo",U25="Manual"),"25%",""))))))</f>
        <v>40%</v>
      </c>
      <c r="W25" s="134" t="s">
        <v>17</v>
      </c>
      <c r="X25" s="134" t="s">
        <v>20</v>
      </c>
      <c r="Y25" s="134" t="s">
        <v>86</v>
      </c>
      <c r="Z25" s="54" t="s">
        <v>283</v>
      </c>
      <c r="AA25" s="114">
        <f>IFERROR(IF(S25="Probabilidad",(L25-(+L25*V25)),IF(S25="Impacto",L25,"")),"")</f>
        <v>0.24</v>
      </c>
      <c r="AB25" s="61" t="str">
        <f>IFERROR(IF(AA25="","",IF(AA25&lt;=0.2,"Muy Baja",IF(AA25&lt;=0.4,"Baja",IF(AA25&lt;=0.6,"Media",IF(AA25&lt;=0.8,"Alta","Muy Alta"))))),"")</f>
        <v>Baja</v>
      </c>
      <c r="AC25" s="60">
        <f t="shared" ref="AC25:AC26" si="22">+AA25</f>
        <v>0.24</v>
      </c>
      <c r="AD25" s="61" t="str">
        <f>IFERROR(IF(AE25="","",IF(AE25&lt;=0.2,"Leve",IF(AE25&lt;=0.4,"Menor",IF(AE25&lt;=0.6,"Moderado",IF(AE25&lt;=0.8,"Mayor","Catastrófico"))))),"")</f>
        <v>Mayor</v>
      </c>
      <c r="AE25" s="60">
        <f>IFERROR(IF(S25="Impacto",(O25-(+O25*V25)),IF(S25="Probabilidad",O25,"")),"")</f>
        <v>0.8</v>
      </c>
      <c r="AF25" s="133" t="str">
        <f t="shared" ref="AF25:AF26" si="23">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Alto</v>
      </c>
      <c r="AG25" s="268" t="str">
        <f>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Alto</v>
      </c>
      <c r="AH25" s="345" t="s">
        <v>101</v>
      </c>
      <c r="AI25" s="272" t="s">
        <v>284</v>
      </c>
      <c r="AJ25" s="272" t="s">
        <v>285</v>
      </c>
      <c r="AK25" s="287" t="s">
        <v>286</v>
      </c>
      <c r="AL25" s="265" t="s">
        <v>231</v>
      </c>
      <c r="AM25" s="272" t="s">
        <v>287</v>
      </c>
      <c r="AN25" s="275" t="s">
        <v>38</v>
      </c>
    </row>
    <row r="26" spans="1:41" ht="104.25" customHeight="1" x14ac:dyDescent="0.2">
      <c r="A26" s="349"/>
      <c r="B26" s="294"/>
      <c r="C26" s="388"/>
      <c r="D26" s="274"/>
      <c r="E26" s="274"/>
      <c r="F26" s="291"/>
      <c r="G26" s="274"/>
      <c r="H26" s="274"/>
      <c r="I26" s="274"/>
      <c r="J26" s="277"/>
      <c r="K26" s="317"/>
      <c r="L26" s="320"/>
      <c r="M26" s="274"/>
      <c r="N26" s="317"/>
      <c r="O26" s="153" t="str">
        <f t="shared" si="17"/>
        <v/>
      </c>
      <c r="P26" s="304"/>
      <c r="Q26" s="138">
        <v>2</v>
      </c>
      <c r="R26" s="54" t="s">
        <v>288</v>
      </c>
      <c r="S26" s="113" t="str">
        <f t="shared" si="20"/>
        <v>Probabilidad</v>
      </c>
      <c r="T26" s="134" t="s">
        <v>12</v>
      </c>
      <c r="U26" s="134" t="s">
        <v>7</v>
      </c>
      <c r="V26" s="60" t="str">
        <f t="shared" si="21"/>
        <v>40%</v>
      </c>
      <c r="W26" s="134" t="s">
        <v>17</v>
      </c>
      <c r="X26" s="134" t="s">
        <v>20</v>
      </c>
      <c r="Y26" s="134" t="s">
        <v>86</v>
      </c>
      <c r="Z26" s="54" t="s">
        <v>289</v>
      </c>
      <c r="AA26" s="114">
        <f>IFERROR(IF(AND(S25="Probabilidad",S26="Probabilidad"),(AC25-(+AC25*V26)),IF(S26="Probabilidad",(L25-(+L25*V26)),IF(S26="Impacto",AC25,""))),"")</f>
        <v>0.14399999999999999</v>
      </c>
      <c r="AB26" s="61" t="str">
        <f t="shared" ref="AB26" si="24">IFERROR(IF(AA26="","",IF(AA26&lt;=0.2,"Muy Baja",IF(AA26&lt;=0.4,"Baja",IF(AA26&lt;=0.6,"Media",IF(AA26&lt;=0.8,"Alta","Muy Alta"))))),"")</f>
        <v>Muy Baja</v>
      </c>
      <c r="AC26" s="60">
        <f t="shared" si="22"/>
        <v>0.14399999999999999</v>
      </c>
      <c r="AD26" s="61" t="str">
        <f t="shared" ref="AD26" si="25">IFERROR(IF(AE26="","",IF(AE26&lt;=0.2,"Leve",IF(AE26&lt;=0.4,"Menor",IF(AE26&lt;=0.6,"Moderado",IF(AE26&lt;=0.8,"Mayor","Catastrófico"))))),"")</f>
        <v>Mayor</v>
      </c>
      <c r="AE26" s="60">
        <f>IFERROR(IF(AND(S25="Impacto",S26="Impacto"),(AE25-(+AE25*V26)),IF(S26="Impacto",(#REF!-(+#REF!*V26)),IF(S26="Probabilidad",AE25,""))),"")</f>
        <v>0.8</v>
      </c>
      <c r="AF26" s="133" t="str">
        <f t="shared" si="23"/>
        <v>Alto</v>
      </c>
      <c r="AG26" s="269"/>
      <c r="AH26" s="346"/>
      <c r="AI26" s="274"/>
      <c r="AJ26" s="274"/>
      <c r="AK26" s="289"/>
      <c r="AL26" s="267"/>
      <c r="AM26" s="274"/>
      <c r="AN26" s="277"/>
    </row>
    <row r="27" spans="1:41" ht="165.75" x14ac:dyDescent="0.2">
      <c r="A27" s="347" t="s">
        <v>306</v>
      </c>
      <c r="B27" s="292">
        <v>13</v>
      </c>
      <c r="C27" s="386" t="s">
        <v>471</v>
      </c>
      <c r="D27" s="298" t="s">
        <v>99</v>
      </c>
      <c r="E27" s="272" t="s">
        <v>291</v>
      </c>
      <c r="F27" s="290" t="s">
        <v>292</v>
      </c>
      <c r="G27" s="272" t="s">
        <v>92</v>
      </c>
      <c r="H27" s="272" t="s">
        <v>293</v>
      </c>
      <c r="I27" s="272" t="s">
        <v>340</v>
      </c>
      <c r="J27" s="275">
        <v>12</v>
      </c>
      <c r="K27" s="315" t="str">
        <f>IF(J27&lt;=0,"",IF(J27&lt;=2,"Muy Baja",IF(J27&lt;=24,"Baja",IF(J27&lt;=500,"Media",IF(J27&lt;=5000,"Alta","Muy Alta")))))</f>
        <v>Baja</v>
      </c>
      <c r="L27" s="318">
        <f>IF(K27="","",IF(K27="Muy Baja",0.2,IF(K27="Baja",0.4,IF(K27="Media",0.6,IF(K27="Alta",0.8,IF(K27="Muy Alta",1,))))))</f>
        <v>0.4</v>
      </c>
      <c r="M27" s="272">
        <f>+'Tabla Impacto'!AG26</f>
        <v>9</v>
      </c>
      <c r="N27" s="315" t="str">
        <f t="shared" si="5"/>
        <v>Moderado</v>
      </c>
      <c r="O27" s="200">
        <f t="shared" si="17"/>
        <v>0.6</v>
      </c>
      <c r="P27" s="323" t="str">
        <f>IF(OR(AND(K27="Muy Baja",N27="Leve"),AND(K27="Muy Baja",N27="Menor"),AND(K27="Baja",N27="Leve")),"Bajo",IF(OR(AND(K27="Muy baja",N27="Moderado"),AND(K27="Baja",N27="Menor"),AND(K27="Baja",N27="Moderado"),AND(K27="Media",N27="Leve"),AND(K27="Media",N27="Menor"),AND(K27="Media",N27="Moderado"),AND(K27="Alta",N27="Leve"),AND(K27="Alta",N27="Menor")),"Moderado",IF(OR(AND(K27="Muy Baja",N27="Mayor"),AND(K27="Baja",N27="Mayor"),AND(K27="Media",N27="Mayor"),AND(K27="Alta",N27="Moderado"),AND(K27="Alta",N27="Mayor"),AND(K27="Muy Alta",N27="Leve"),AND(K27="Muy Alta",N27="Menor"),AND(K27="Muy Alta",N27="Moderado"),AND(K27="Muy Alta",N27="Mayor")),"Alto",IF(OR(AND(K27="Muy Baja",N27="Catastrófico"),AND(K27="Baja",N27="Catastrófico"),AND(K27="Media",N27="Catastrófico"),AND(K27="Alta",N27="Catastrófico"),AND(K27="Muy Alta",N27="Catastrófico")),"Extremo",""))))</f>
        <v>Moderado</v>
      </c>
      <c r="Q27" s="138">
        <v>1</v>
      </c>
      <c r="R27" s="54" t="s">
        <v>294</v>
      </c>
      <c r="S27" s="113" t="str">
        <f t="shared" si="20"/>
        <v>Probabilidad</v>
      </c>
      <c r="T27" s="134" t="s">
        <v>12</v>
      </c>
      <c r="U27" s="134" t="s">
        <v>7</v>
      </c>
      <c r="V27" s="60" t="str">
        <f>IF(AND(T27="Preventivo",U27="Automático"),"50%",IF(AND(T27="Preventivo",U27="Manual"),"40%",IF(AND(T27="Detectivo",U27="Automático"),"40%",IF(AND(T27="Detectivo",U27="Manual"),"30%",IF(AND(T27="Correctivo",U27="Automático"),"35%",IF(AND(T27="Correctivo",U27="Manual"),"25%",""))))))</f>
        <v>40%</v>
      </c>
      <c r="W27" s="134" t="s">
        <v>17</v>
      </c>
      <c r="X27" s="134" t="s">
        <v>20</v>
      </c>
      <c r="Y27" s="134" t="s">
        <v>86</v>
      </c>
      <c r="Z27" s="54" t="s">
        <v>295</v>
      </c>
      <c r="AA27" s="114">
        <f>IFERROR(IF(S27="Probabilidad",(L27-(+L27*V27)),IF(S27="Impacto",L27,"")),"")</f>
        <v>0.24</v>
      </c>
      <c r="AB27" s="61" t="str">
        <f>IFERROR(IF(AA27="","",IF(AA27&lt;=0.2,"Muy Baja",IF(AA27&lt;=0.4,"Baja",IF(AA27&lt;=0.6,"Media",IF(AA27&lt;=0.8,"Alta","Muy Alta"))))),"")</f>
        <v>Baja</v>
      </c>
      <c r="AC27" s="60">
        <f>+AA27</f>
        <v>0.24</v>
      </c>
      <c r="AD27" s="61" t="str">
        <f>IFERROR(IF(AE27="","",IF(AE27&lt;=0.2,"Leve",IF(AE27&lt;=0.4,"Menor",IF(AE27&lt;=0.6,"Moderado",IF(AE27&lt;=0.8,"Mayor","Catastrófico"))))),"")</f>
        <v>Moderado</v>
      </c>
      <c r="AE27" s="60">
        <f>IFERROR(IF(S27="Impacto",(O27-(+O27*V27)),IF(S27="Probabilidad",O27,"")),"")</f>
        <v>0.6</v>
      </c>
      <c r="AF27" s="133" t="str">
        <f>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Moderado</v>
      </c>
      <c r="AG27" s="268" t="str">
        <f>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Moderado</v>
      </c>
      <c r="AH27" s="284" t="s">
        <v>101</v>
      </c>
      <c r="AI27" s="128" t="s">
        <v>296</v>
      </c>
      <c r="AJ27" s="128" t="s">
        <v>297</v>
      </c>
      <c r="AK27" s="135" t="s">
        <v>286</v>
      </c>
      <c r="AL27" s="136" t="s">
        <v>231</v>
      </c>
      <c r="AM27" s="128" t="s">
        <v>298</v>
      </c>
      <c r="AN27" s="127" t="s">
        <v>38</v>
      </c>
    </row>
    <row r="28" spans="1:41" ht="164.25" customHeight="1" x14ac:dyDescent="0.2">
      <c r="A28" s="348"/>
      <c r="B28" s="294"/>
      <c r="C28" s="387"/>
      <c r="D28" s="273"/>
      <c r="E28" s="273"/>
      <c r="F28" s="295"/>
      <c r="G28" s="273"/>
      <c r="H28" s="273"/>
      <c r="I28" s="273"/>
      <c r="J28" s="276"/>
      <c r="K28" s="316"/>
      <c r="L28" s="319"/>
      <c r="M28" s="273"/>
      <c r="N28" s="316"/>
      <c r="O28" s="153" t="str">
        <f t="shared" si="17"/>
        <v/>
      </c>
      <c r="P28" s="350"/>
      <c r="Q28" s="138">
        <v>2</v>
      </c>
      <c r="R28" s="54" t="s">
        <v>299</v>
      </c>
      <c r="S28" s="113" t="str">
        <f t="shared" si="20"/>
        <v>Probabilidad</v>
      </c>
      <c r="T28" s="134" t="s">
        <v>12</v>
      </c>
      <c r="U28" s="134" t="s">
        <v>7</v>
      </c>
      <c r="V28" s="60" t="str">
        <f t="shared" ref="V28:V29" si="26">IF(AND(T28="Preventivo",U28="Automático"),"50%",IF(AND(T28="Preventivo",U28="Manual"),"40%",IF(AND(T28="Detectivo",U28="Automático"),"40%",IF(AND(T28="Detectivo",U28="Manual"),"30%",IF(AND(T28="Correctivo",U28="Automático"),"35%",IF(AND(T28="Correctivo",U28="Manual"),"25%",""))))))</f>
        <v>40%</v>
      </c>
      <c r="W28" s="134" t="s">
        <v>17</v>
      </c>
      <c r="X28" s="134" t="s">
        <v>20</v>
      </c>
      <c r="Y28" s="134" t="s">
        <v>86</v>
      </c>
      <c r="Z28" s="54" t="s">
        <v>300</v>
      </c>
      <c r="AA28" s="114">
        <f>IFERROR(IF(AND(S27="Probabilidad",S28="Probabilidad"),(AC27-(+AC27*V28)),IF(S28="Probabilidad",(L27-(+L27*V28)),IF(S28="Impacto",AC27,""))),"")</f>
        <v>0.14399999999999999</v>
      </c>
      <c r="AB28" s="61" t="str">
        <f t="shared" ref="AB28:AB29" si="27">IFERROR(IF(AA28="","",IF(AA28&lt;=0.2,"Muy Baja",IF(AA28&lt;=0.4,"Baja",IF(AA28&lt;=0.6,"Media",IF(AA28&lt;=0.8,"Alta","Muy Alta"))))),"")</f>
        <v>Muy Baja</v>
      </c>
      <c r="AC28" s="60">
        <f t="shared" ref="AC28:AC29" si="28">+AA28</f>
        <v>0.14399999999999999</v>
      </c>
      <c r="AD28" s="61" t="str">
        <f t="shared" ref="AD28:AD29" si="29">IFERROR(IF(AE28="","",IF(AE28&lt;=0.2,"Leve",IF(AE28&lt;=0.4,"Menor",IF(AE28&lt;=0.6,"Moderado",IF(AE28&lt;=0.8,"Mayor","Catastrófico"))))),"")</f>
        <v>Moderado</v>
      </c>
      <c r="AE28" s="60">
        <f>IFERROR(IF(AND(S27="Impacto",S28="Impacto"),(AE27-(+AE27*V28)),IF(S28="Impacto",(#REF!-(+#REF!*V28)),IF(S28="Probabilidad",AE27,""))),"")</f>
        <v>0.6</v>
      </c>
      <c r="AF28" s="133" t="str">
        <f t="shared" ref="AF28:AF29" si="30">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Moderado</v>
      </c>
      <c r="AG28" s="344"/>
      <c r="AH28" s="285"/>
      <c r="AI28" s="272" t="s">
        <v>301</v>
      </c>
      <c r="AJ28" s="272" t="s">
        <v>302</v>
      </c>
      <c r="AK28" s="287" t="s">
        <v>286</v>
      </c>
      <c r="AL28" s="265" t="s">
        <v>231</v>
      </c>
      <c r="AM28" s="272" t="s">
        <v>303</v>
      </c>
      <c r="AN28" s="275" t="s">
        <v>38</v>
      </c>
    </row>
    <row r="29" spans="1:41" ht="99.75" customHeight="1" x14ac:dyDescent="0.2">
      <c r="A29" s="349"/>
      <c r="B29" s="294"/>
      <c r="C29" s="388"/>
      <c r="D29" s="274"/>
      <c r="E29" s="274"/>
      <c r="F29" s="291"/>
      <c r="G29" s="274"/>
      <c r="H29" s="274"/>
      <c r="I29" s="274"/>
      <c r="J29" s="277"/>
      <c r="K29" s="317"/>
      <c r="L29" s="320"/>
      <c r="M29" s="274"/>
      <c r="N29" s="317"/>
      <c r="O29" s="153" t="str">
        <f t="shared" si="17"/>
        <v/>
      </c>
      <c r="P29" s="324"/>
      <c r="Q29" s="138">
        <v>3</v>
      </c>
      <c r="R29" s="54" t="s">
        <v>304</v>
      </c>
      <c r="S29" s="113" t="str">
        <f t="shared" si="20"/>
        <v>Probabilidad</v>
      </c>
      <c r="T29" s="134" t="s">
        <v>12</v>
      </c>
      <c r="U29" s="134" t="s">
        <v>7</v>
      </c>
      <c r="V29" s="60" t="str">
        <f t="shared" si="26"/>
        <v>40%</v>
      </c>
      <c r="W29" s="134" t="s">
        <v>17</v>
      </c>
      <c r="X29" s="134" t="s">
        <v>20</v>
      </c>
      <c r="Y29" s="134" t="s">
        <v>86</v>
      </c>
      <c r="Z29" s="54" t="s">
        <v>305</v>
      </c>
      <c r="AA29" s="114">
        <f>IFERROR(IF(AND(S28="Probabilidad",S29="Probabilidad"),(AC28-(+AC28*V29)),IF(AND(S28="Impacto",S29="Probabilidad"),(AC27-(+AC27*V29)),IF(S29="Impacto",AC28,""))),"")</f>
        <v>8.6399999999999991E-2</v>
      </c>
      <c r="AB29" s="61" t="str">
        <f t="shared" si="27"/>
        <v>Muy Baja</v>
      </c>
      <c r="AC29" s="60">
        <f t="shared" si="28"/>
        <v>8.6399999999999991E-2</v>
      </c>
      <c r="AD29" s="61" t="str">
        <f t="shared" si="29"/>
        <v>Moderado</v>
      </c>
      <c r="AE29" s="60">
        <f>IFERROR(IF(AND(S28="Impacto",S29="Impacto"),(AE28-(+AE28*V29)),IF(AND(S28="Probabilidad",S29="Impacto"),(AE27-(+AE27*V29)),IF(S29="Probabilidad",AE28,""))),"")</f>
        <v>0.6</v>
      </c>
      <c r="AF29" s="133" t="str">
        <f t="shared" si="30"/>
        <v>Moderado</v>
      </c>
      <c r="AG29" s="269"/>
      <c r="AH29" s="286"/>
      <c r="AI29" s="274"/>
      <c r="AJ29" s="274"/>
      <c r="AK29" s="289"/>
      <c r="AL29" s="267"/>
      <c r="AM29" s="274"/>
      <c r="AN29" s="277"/>
    </row>
    <row r="30" spans="1:41" ht="102" x14ac:dyDescent="0.2">
      <c r="A30" s="383" t="s">
        <v>334</v>
      </c>
      <c r="B30" s="292">
        <v>14</v>
      </c>
      <c r="C30" s="389" t="s">
        <v>474</v>
      </c>
      <c r="D30" s="298" t="s">
        <v>97</v>
      </c>
      <c r="E30" s="272" t="s">
        <v>280</v>
      </c>
      <c r="F30" s="290" t="s">
        <v>307</v>
      </c>
      <c r="G30" s="272" t="s">
        <v>95</v>
      </c>
      <c r="H30" s="272" t="s">
        <v>308</v>
      </c>
      <c r="I30" s="272" t="s">
        <v>340</v>
      </c>
      <c r="J30" s="275">
        <v>12</v>
      </c>
      <c r="K30" s="315" t="str">
        <f>IF(J30&lt;=0,"",IF(J30&lt;=2,"Muy Baja",IF(J30&lt;=24,"Baja",IF(J30&lt;=500,"Media",IF(J30&lt;=5000,"Alta","Muy Alta")))))</f>
        <v>Baja</v>
      </c>
      <c r="L30" s="318">
        <f>IF(K30="","",IF(K30="Muy Baja",0.2,IF(K30="Baja",0.4,IF(K30="Media",0.6,IF(K30="Alta",0.8,IF(K30="Muy Alta",1,))))))</f>
        <v>0.4</v>
      </c>
      <c r="M30" s="272">
        <f>+'Tabla Impacto'!AI26</f>
        <v>10</v>
      </c>
      <c r="N30" s="315" t="str">
        <f t="shared" si="5"/>
        <v>Moderado</v>
      </c>
      <c r="O30" s="200">
        <f t="shared" si="17"/>
        <v>0.6</v>
      </c>
      <c r="P30" s="302" t="str">
        <f>'[9]Mapa final'!P10</f>
        <v>Alto</v>
      </c>
      <c r="Q30" s="138">
        <v>1</v>
      </c>
      <c r="R30" s="119" t="s">
        <v>344</v>
      </c>
      <c r="S30" s="113" t="str">
        <f>IF(OR(T30="Preventivo",T30="Detectivo"),"Probabilidad",IF(T30="Correctivo","Impacto",""))</f>
        <v>Probabilidad</v>
      </c>
      <c r="T30" s="134" t="s">
        <v>12</v>
      </c>
      <c r="U30" s="134" t="s">
        <v>7</v>
      </c>
      <c r="V30" s="60" t="str">
        <f>IF(AND(T30="Preventivo",U30="Automático"),"50%",IF(AND(T30="Preventivo",U30="Manual"),"40%",IF(AND(T30="Detectivo",U30="Automático"),"40%",IF(AND(T30="Detectivo",U30="Manual"),"30%",IF(AND(T30="Correctivo",U30="Automático"),"35%",IF(AND(T30="Correctivo",U30="Manual"),"25%",""))))))</f>
        <v>40%</v>
      </c>
      <c r="W30" s="134" t="s">
        <v>17</v>
      </c>
      <c r="X30" s="134" t="s">
        <v>20</v>
      </c>
      <c r="Y30" s="134" t="s">
        <v>86</v>
      </c>
      <c r="Z30" s="54" t="s">
        <v>309</v>
      </c>
      <c r="AA30" s="114">
        <f>IFERROR(IF(S30="Probabilidad",(L30-(+L30*V30)),IF(S30="Impacto",L30,"")),"")</f>
        <v>0.24</v>
      </c>
      <c r="AB30" s="61" t="str">
        <f>IFERROR(IF(AA30="","",IF(AA30&lt;=0.2,"Muy Baja",IF(AA30&lt;=0.4,"Baja",IF(AA30&lt;=0.6,"Media",IF(AA30&lt;=0.8,"Alta","Muy Alta"))))),"")</f>
        <v>Baja</v>
      </c>
      <c r="AC30" s="60">
        <f>+AA30</f>
        <v>0.24</v>
      </c>
      <c r="AD30" s="61" t="str">
        <f>IFERROR(IF(AE30="","",IF(AE30&lt;=0.2,"Leve",IF(AE30&lt;=0.4,"Menor",IF(AE30&lt;=0.6,"Moderado",IF(AE30&lt;=0.8,"Mayor","Catastrófico"))))),"")</f>
        <v>Moderado</v>
      </c>
      <c r="AE30" s="60">
        <f>IFERROR(IF(S30="Impacto",(O30-(+O30*V30)),IF(S30="Probabilidad",O30,"")),"")</f>
        <v>0.6</v>
      </c>
      <c r="AF30" s="133" t="str">
        <f>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Moderado</v>
      </c>
      <c r="AG30" s="268" t="str">
        <f>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Moderado</v>
      </c>
      <c r="AH30" s="284" t="s">
        <v>30</v>
      </c>
      <c r="AI30" s="128" t="s">
        <v>238</v>
      </c>
      <c r="AJ30" s="128" t="s">
        <v>238</v>
      </c>
      <c r="AK30" s="128" t="s">
        <v>238</v>
      </c>
      <c r="AL30" s="128" t="s">
        <v>238</v>
      </c>
      <c r="AM30" s="128" t="s">
        <v>238</v>
      </c>
      <c r="AN30" s="128" t="s">
        <v>238</v>
      </c>
    </row>
    <row r="31" spans="1:41" ht="128.25" customHeight="1" x14ac:dyDescent="0.2">
      <c r="A31" s="382"/>
      <c r="B31" s="294"/>
      <c r="C31" s="376"/>
      <c r="D31" s="274"/>
      <c r="E31" s="274"/>
      <c r="F31" s="291"/>
      <c r="G31" s="274"/>
      <c r="H31" s="274"/>
      <c r="I31" s="274"/>
      <c r="J31" s="277"/>
      <c r="K31" s="317"/>
      <c r="L31" s="320"/>
      <c r="M31" s="274"/>
      <c r="N31" s="317"/>
      <c r="O31" s="153" t="str">
        <f t="shared" si="17"/>
        <v/>
      </c>
      <c r="P31" s="304"/>
      <c r="Q31" s="138">
        <v>2</v>
      </c>
      <c r="R31" s="54" t="s">
        <v>310</v>
      </c>
      <c r="S31" s="113" t="str">
        <f t="shared" ref="S31:S34" si="31">IF(OR(T31="Preventivo",T31="Detectivo"),"Probabilidad",IF(T31="Correctivo","Impacto",""))</f>
        <v>Probabilidad</v>
      </c>
      <c r="T31" s="134" t="s">
        <v>12</v>
      </c>
      <c r="U31" s="134" t="s">
        <v>7</v>
      </c>
      <c r="V31" s="60" t="str">
        <f>IF(AND(T31="Preventivo",U31="Automático"),"50%",IF(AND(T31="Preventivo",U31="Manual"),"40%",IF(AND(T31="Detectivo",U31="Automático"),"40%",IF(AND(T31="Detectivo",U31="Manual"),"30%",IF(AND(T31="Correctivo",U31="Automático"),"35%",IF(AND(T31="Correctivo",U31="Manual"),"25%",""))))))</f>
        <v>40%</v>
      </c>
      <c r="W31" s="134" t="s">
        <v>17</v>
      </c>
      <c r="X31" s="134" t="s">
        <v>20</v>
      </c>
      <c r="Y31" s="134" t="s">
        <v>86</v>
      </c>
      <c r="Z31" s="54" t="s">
        <v>311</v>
      </c>
      <c r="AA31" s="114">
        <f>IFERROR(IF(AND(S30="Probabilidad",S31="Probabilidad"),(AC30-(+AC30*V31)),IF(S31="Probabilidad",(L30-(+L30*V31)),IF(S31="Impacto",AC30,""))),"")</f>
        <v>0.14399999999999999</v>
      </c>
      <c r="AB31" s="61" t="str">
        <f t="shared" ref="AB31" si="32">IFERROR(IF(AA31="","",IF(AA31&lt;=0.2,"Muy Baja",IF(AA31&lt;=0.4,"Baja",IF(AA31&lt;=0.6,"Media",IF(AA31&lt;=0.8,"Alta","Muy Alta"))))),"")</f>
        <v>Muy Baja</v>
      </c>
      <c r="AC31" s="60">
        <f t="shared" ref="AC31" si="33">+AA31</f>
        <v>0.14399999999999999</v>
      </c>
      <c r="AD31" s="61" t="str">
        <f t="shared" ref="AD31" si="34">IFERROR(IF(AE31="","",IF(AE31&lt;=0.2,"Leve",IF(AE31&lt;=0.4,"Menor",IF(AE31&lt;=0.6,"Moderado",IF(AE31&lt;=0.8,"Mayor","Catastrófico"))))),"")</f>
        <v>Moderado</v>
      </c>
      <c r="AE31" s="60">
        <f>IFERROR(IF(AND(S30="Impacto",S31="Impacto"),(AE30-(+AE30*V31)),IF(S31="Impacto",(#REF!-(+#REF!*V31)),IF(S31="Probabilidad",AE30,""))),"")</f>
        <v>0.6</v>
      </c>
      <c r="AF31" s="133" t="str">
        <f>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Moderado</v>
      </c>
      <c r="AG31" s="269"/>
      <c r="AH31" s="286"/>
      <c r="AI31" s="128" t="s">
        <v>238</v>
      </c>
      <c r="AJ31" s="128" t="s">
        <v>238</v>
      </c>
      <c r="AK31" s="128" t="s">
        <v>238</v>
      </c>
      <c r="AL31" s="128" t="s">
        <v>238</v>
      </c>
      <c r="AM31" s="128" t="s">
        <v>238</v>
      </c>
      <c r="AN31" s="128" t="s">
        <v>238</v>
      </c>
    </row>
    <row r="32" spans="1:41" ht="280.5" x14ac:dyDescent="0.2">
      <c r="A32" s="208" t="s">
        <v>320</v>
      </c>
      <c r="B32" s="138">
        <v>15</v>
      </c>
      <c r="C32" s="105" t="s">
        <v>471</v>
      </c>
      <c r="D32" s="194" t="s">
        <v>99</v>
      </c>
      <c r="E32" s="128" t="s">
        <v>312</v>
      </c>
      <c r="F32" s="129" t="s">
        <v>313</v>
      </c>
      <c r="G32" s="128" t="s">
        <v>92</v>
      </c>
      <c r="H32" s="128" t="s">
        <v>314</v>
      </c>
      <c r="I32" s="128" t="s">
        <v>340</v>
      </c>
      <c r="J32" s="127">
        <f>12*30</f>
        <v>360</v>
      </c>
      <c r="K32" s="130" t="str">
        <f>IF(J32&lt;=0,"",IF(J32&lt;=2,"Muy Baja",IF(J32&lt;=24,"Baja",IF(J32&lt;=500,"Media",IF(J32&lt;=5000,"Alta","Muy Alta")))))</f>
        <v>Media</v>
      </c>
      <c r="L32" s="131">
        <f>IF(K32="","",IF(K32="Muy Baja",0.2,IF(K32="Baja",0.4,IF(K32="Media",0.6,IF(K32="Alta",0.8,IF(K32="Muy Alta",1,))))))</f>
        <v>0.6</v>
      </c>
      <c r="M32" s="128">
        <f>+'Tabla Impacto'!AK26</f>
        <v>16</v>
      </c>
      <c r="N32" s="130" t="str">
        <f>IF(M32&lt;=3,"Leve",IF(M32&lt;=6,"Menor",IF(M32&lt;=10,"Moderado",IF(M32&lt;=14,"Mayor","Catastrofico"))))</f>
        <v>Catastrofico</v>
      </c>
      <c r="O32" s="200">
        <v>1</v>
      </c>
      <c r="P32" s="137" t="str">
        <f>'[10]Mapa final'!P10</f>
        <v>Extremo</v>
      </c>
      <c r="Q32" s="138">
        <v>1</v>
      </c>
      <c r="R32" s="54" t="s">
        <v>315</v>
      </c>
      <c r="S32" s="113" t="str">
        <f t="shared" si="31"/>
        <v>Probabilidad</v>
      </c>
      <c r="T32" s="134" t="s">
        <v>12</v>
      </c>
      <c r="U32" s="134" t="s">
        <v>7</v>
      </c>
      <c r="V32" s="60" t="str">
        <f>IF(AND(T32="Preventivo",U32="Automático"),"50%",IF(AND(T32="Preventivo",U32="Manual"),"40%",IF(AND(T32="Detectivo",U32="Automático"),"40%",IF(AND(T32="Detectivo",U32="Manual"),"30%",IF(AND(T32="Correctivo",U32="Automático"),"35%",IF(AND(T32="Correctivo",U32="Manual"),"25%",""))))))</f>
        <v>40%</v>
      </c>
      <c r="W32" s="134" t="s">
        <v>17</v>
      </c>
      <c r="X32" s="134" t="s">
        <v>20</v>
      </c>
      <c r="Y32" s="134" t="s">
        <v>86</v>
      </c>
      <c r="Z32" s="54" t="s">
        <v>316</v>
      </c>
      <c r="AA32" s="114">
        <f>IFERROR(IF(S32="Probabilidad",(L32-(+L32*V32)),IF(S32="Impacto",L32,"")),"")</f>
        <v>0.36</v>
      </c>
      <c r="AB32" s="61" t="str">
        <f>IFERROR(IF(AA32="","",IF(AA32&lt;=0.2,"Muy Baja",IF(AA32&lt;=0.4,"Baja",IF(AA32&lt;=0.6,"Media",IF(AA32&lt;=0.8,"Alta","Muy Alta"))))),"")</f>
        <v>Baja</v>
      </c>
      <c r="AC32" s="60">
        <f>+AA32</f>
        <v>0.36</v>
      </c>
      <c r="AD32" s="61" t="str">
        <f>IFERROR(IF(AE32="","",IF(AE32&lt;=0.2,"Leve",IF(AE32&lt;=0.4,"Menor",IF(AE32&lt;=0.6,"Moderado",IF(AE32&lt;=0.8,"Mayor","Catastrófico"))))),"")</f>
        <v>Catastrófico</v>
      </c>
      <c r="AE32" s="60">
        <f>IFERROR(IF(S32="Impacto",(O32-(+O32*V32)),IF(S32="Probabilidad",O32,"")),"")</f>
        <v>1</v>
      </c>
      <c r="AF32" s="133" t="str">
        <f>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Extremo</v>
      </c>
      <c r="AG32" s="133" t="str">
        <f>$AF$32</f>
        <v>Extremo</v>
      </c>
      <c r="AH32" s="134" t="s">
        <v>30</v>
      </c>
      <c r="AI32" s="128" t="s">
        <v>238</v>
      </c>
      <c r="AJ32" s="128" t="s">
        <v>238</v>
      </c>
      <c r="AK32" s="128" t="s">
        <v>238</v>
      </c>
      <c r="AL32" s="128" t="s">
        <v>238</v>
      </c>
      <c r="AM32" s="128" t="s">
        <v>238</v>
      </c>
      <c r="AN32" s="128" t="s">
        <v>238</v>
      </c>
    </row>
    <row r="33" spans="1:40" ht="108" customHeight="1" x14ac:dyDescent="0.2">
      <c r="A33" s="380" t="s">
        <v>320</v>
      </c>
      <c r="B33" s="292">
        <v>16</v>
      </c>
      <c r="C33" s="386" t="s">
        <v>474</v>
      </c>
      <c r="D33" s="298" t="s">
        <v>98</v>
      </c>
      <c r="E33" s="272" t="s">
        <v>280</v>
      </c>
      <c r="F33" s="290" t="s">
        <v>351</v>
      </c>
      <c r="G33" s="272" t="s">
        <v>95</v>
      </c>
      <c r="H33" s="272" t="s">
        <v>314</v>
      </c>
      <c r="I33" s="272" t="s">
        <v>340</v>
      </c>
      <c r="J33" s="275">
        <v>6</v>
      </c>
      <c r="K33" s="315" t="str">
        <f>IF(J33&lt;=0,"",IF(J33&lt;=2,"Muy Baja",IF(J33&lt;=24,"Baja",IF(J33&lt;=500,"Media",IF(J33&lt;=5000,"Alta","Muy Alta")))))</f>
        <v>Baja</v>
      </c>
      <c r="L33" s="318">
        <f>IF(K33="","",IF(K33="Muy Baja",0.2,IF(K33="Baja",0.4,IF(K33="Media",0.6,IF(K33="Alta",0.8,IF(K33="Muy Alta",1,))))))</f>
        <v>0.4</v>
      </c>
      <c r="M33" s="272">
        <f>+'Tabla Impacto'!AM26</f>
        <v>6</v>
      </c>
      <c r="N33" s="315" t="str">
        <f t="shared" si="5"/>
        <v>Menor</v>
      </c>
      <c r="O33" s="318">
        <v>0.4</v>
      </c>
      <c r="P33" s="302" t="str">
        <f>'[10]Mapa final'!P13</f>
        <v>Alto</v>
      </c>
      <c r="Q33" s="138">
        <v>1</v>
      </c>
      <c r="R33" s="119" t="s">
        <v>345</v>
      </c>
      <c r="S33" s="113" t="str">
        <f t="shared" si="31"/>
        <v>Probabilidad</v>
      </c>
      <c r="T33" s="134" t="s">
        <v>12</v>
      </c>
      <c r="U33" s="134" t="s">
        <v>7</v>
      </c>
      <c r="V33" s="60" t="str">
        <f>IF(AND(T33="Preventivo",U33="Automático"),"50%",IF(AND(T33="Preventivo",U33="Manual"),"40%",IF(AND(T33="Detectivo",U33="Automático"),"40%",IF(AND(T33="Detectivo",U33="Manual"),"30%",IF(AND(T33="Correctivo",U33="Automático"),"35%",IF(AND(T33="Correctivo",U33="Manual"),"25%",""))))))</f>
        <v>40%</v>
      </c>
      <c r="W33" s="134" t="s">
        <v>17</v>
      </c>
      <c r="X33" s="134" t="s">
        <v>20</v>
      </c>
      <c r="Y33" s="134" t="s">
        <v>86</v>
      </c>
      <c r="Z33" s="54" t="s">
        <v>283</v>
      </c>
      <c r="AA33" s="114">
        <f>IFERROR(IF(S33="Probabilidad",(L33-(+L33*V33)),IF(S33="Impacto",L33,"")),"")</f>
        <v>0.24</v>
      </c>
      <c r="AB33" s="61" t="str">
        <f>IFERROR(IF(AA33="","",IF(AA33&lt;=0.2,"Muy Baja",IF(AA33&lt;=0.4,"Baja",IF(AA33&lt;=0.6,"Media",IF(AA33&lt;=0.8,"Alta","Muy Alta"))))),"")</f>
        <v>Baja</v>
      </c>
      <c r="AC33" s="60">
        <f>+AA33</f>
        <v>0.24</v>
      </c>
      <c r="AD33" s="61" t="str">
        <f>IFERROR(IF(AE33="","",IF(AE33&lt;=0.2,"Leve",IF(AE33&lt;=0.4,"Menor",IF(AE33&lt;=0.6,"Moderado",IF(AE33&lt;=0.8,"Mayor","Catastrófico"))))),"")</f>
        <v>Menor</v>
      </c>
      <c r="AE33" s="60">
        <f>IFERROR(IF(S33="Impacto",(O33-(+O33*V33)),IF(S33="Probabilidad",O33,"")),"")</f>
        <v>0.4</v>
      </c>
      <c r="AF33" s="133" t="str">
        <f>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Moderado</v>
      </c>
      <c r="AG33" s="351" t="str">
        <f t="shared" ref="AG33" si="35">$AF$33</f>
        <v>Moderado</v>
      </c>
      <c r="AH33" s="284" t="s">
        <v>101</v>
      </c>
      <c r="AI33" s="272" t="s">
        <v>284</v>
      </c>
      <c r="AJ33" s="272" t="s">
        <v>317</v>
      </c>
      <c r="AK33" s="287" t="s">
        <v>286</v>
      </c>
      <c r="AL33" s="265" t="s">
        <v>231</v>
      </c>
      <c r="AM33" s="272" t="s">
        <v>287</v>
      </c>
      <c r="AN33" s="275" t="s">
        <v>38</v>
      </c>
    </row>
    <row r="34" spans="1:40" ht="119.25" customHeight="1" x14ac:dyDescent="0.2">
      <c r="A34" s="349"/>
      <c r="B34" s="294"/>
      <c r="C34" s="388"/>
      <c r="D34" s="274"/>
      <c r="E34" s="274"/>
      <c r="F34" s="291"/>
      <c r="G34" s="274"/>
      <c r="H34" s="274"/>
      <c r="I34" s="274"/>
      <c r="J34" s="277"/>
      <c r="K34" s="317"/>
      <c r="L34" s="320"/>
      <c r="M34" s="274"/>
      <c r="N34" s="317"/>
      <c r="O34" s="320"/>
      <c r="P34" s="304"/>
      <c r="Q34" s="138">
        <v>2</v>
      </c>
      <c r="R34" s="54" t="s">
        <v>318</v>
      </c>
      <c r="S34" s="113" t="str">
        <f t="shared" si="31"/>
        <v>Probabilidad</v>
      </c>
      <c r="T34" s="134" t="s">
        <v>12</v>
      </c>
      <c r="U34" s="134" t="s">
        <v>7</v>
      </c>
      <c r="V34" s="60" t="str">
        <f t="shared" ref="V34" si="36">IF(AND(T34="Preventivo",U34="Automático"),"50%",IF(AND(T34="Preventivo",U34="Manual"),"40%",IF(AND(T34="Detectivo",U34="Automático"),"40%",IF(AND(T34="Detectivo",U34="Manual"),"30%",IF(AND(T34="Correctivo",U34="Automático"),"35%",IF(AND(T34="Correctivo",U34="Manual"),"25%",""))))))</f>
        <v>40%</v>
      </c>
      <c r="W34" s="134" t="s">
        <v>17</v>
      </c>
      <c r="X34" s="134" t="s">
        <v>20</v>
      </c>
      <c r="Y34" s="134" t="s">
        <v>86</v>
      </c>
      <c r="Z34" s="54" t="s">
        <v>319</v>
      </c>
      <c r="AA34" s="114">
        <f>IFERROR(IF(AND(S33="Probabilidad",S34="Probabilidad"),(AC33-(+AC33*V34)),IF(S34="Probabilidad",(L33-(+L33*V34)),IF(S34="Impacto",AC33,""))),"")</f>
        <v>0.14399999999999999</v>
      </c>
      <c r="AB34" s="61" t="str">
        <f t="shared" ref="AB34" si="37">IFERROR(IF(AA34="","",IF(AA34&lt;=0.2,"Muy Baja",IF(AA34&lt;=0.4,"Baja",IF(AA34&lt;=0.6,"Media",IF(AA34&lt;=0.8,"Alta","Muy Alta"))))),"")</f>
        <v>Muy Baja</v>
      </c>
      <c r="AC34" s="60">
        <f t="shared" ref="AC34" si="38">+AA34</f>
        <v>0.14399999999999999</v>
      </c>
      <c r="AD34" s="61" t="str">
        <f t="shared" ref="AD34" si="39">IFERROR(IF(AE34="","",IF(AE34&lt;=0.2,"Leve",IF(AE34&lt;=0.4,"Menor",IF(AE34&lt;=0.6,"Moderado",IF(AE34&lt;=0.8,"Mayor","Catastrófico"))))),"")</f>
        <v>Menor</v>
      </c>
      <c r="AE34" s="60">
        <f>IFERROR(IF(AND(S33="Impacto",S34="Impacto"),(AE33-(+AE33*V34)),IF(S34="Impacto",(#REF!-(+#REF!*V34)),IF(S34="Probabilidad",AE33,""))),"")</f>
        <v>0.4</v>
      </c>
      <c r="AF34" s="133" t="str">
        <f t="shared" ref="AF34" si="40">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Bajo</v>
      </c>
      <c r="AG34" s="352"/>
      <c r="AH34" s="286"/>
      <c r="AI34" s="274"/>
      <c r="AJ34" s="274"/>
      <c r="AK34" s="289"/>
      <c r="AL34" s="267"/>
      <c r="AM34" s="274"/>
      <c r="AN34" s="277"/>
    </row>
    <row r="35" spans="1:40" ht="125.25" customHeight="1" x14ac:dyDescent="0.2">
      <c r="A35" s="347" t="s">
        <v>324</v>
      </c>
      <c r="B35" s="292">
        <v>17</v>
      </c>
      <c r="C35" s="386" t="s">
        <v>473</v>
      </c>
      <c r="D35" s="298" t="s">
        <v>97</v>
      </c>
      <c r="E35" s="272" t="s">
        <v>280</v>
      </c>
      <c r="F35" s="290" t="s">
        <v>347</v>
      </c>
      <c r="G35" s="272" t="s">
        <v>95</v>
      </c>
      <c r="H35" s="272" t="s">
        <v>322</v>
      </c>
      <c r="I35" s="272" t="s">
        <v>340</v>
      </c>
      <c r="J35" s="275">
        <f>20*3</f>
        <v>60</v>
      </c>
      <c r="K35" s="315" t="str">
        <f>IF(J35&lt;=0,"",IF(J35&lt;=2,"Muy Baja",IF(J35&lt;=24,"Baja",IF(J35&lt;=500,"Media",IF(J35&lt;=5000,"Alta","Muy Alta")))))</f>
        <v>Media</v>
      </c>
      <c r="L35" s="318">
        <f>IF(K35="","",IF(K35="Muy Baja",0.2,IF(K35="Baja",0.4,IF(K35="Media",0.6,IF(K35="Alta",0.8,IF(K35="Muy Alta",1,))))))</f>
        <v>0.6</v>
      </c>
      <c r="M35" s="272">
        <f>+'Tabla Impacto'!AO26</f>
        <v>17</v>
      </c>
      <c r="N35" s="315" t="str">
        <f t="shared" si="5"/>
        <v>Catastrofico</v>
      </c>
      <c r="O35" s="318">
        <v>1</v>
      </c>
      <c r="P35" s="302" t="str">
        <f>'[11]Mapa final'!P10</f>
        <v>Extremo</v>
      </c>
      <c r="Q35" s="138">
        <v>1</v>
      </c>
      <c r="R35" s="119" t="s">
        <v>348</v>
      </c>
      <c r="S35" s="113" t="str">
        <f>IF(OR(T35="Preventivo",T35="Detectivo"),"Probabilidad",IF(T35="Correctivo","Impacto",""))</f>
        <v>Probabilidad</v>
      </c>
      <c r="T35" s="134" t="s">
        <v>12</v>
      </c>
      <c r="U35" s="134" t="s">
        <v>7</v>
      </c>
      <c r="V35" s="60" t="str">
        <f t="shared" ref="V35:V41" si="41">IF(AND(T35="Preventivo",U35="Automático"),"50%",IF(AND(T35="Preventivo",U35="Manual"),"40%",IF(AND(T35="Detectivo",U35="Automático"),"40%",IF(AND(T35="Detectivo",U35="Manual"),"30%",IF(AND(T35="Correctivo",U35="Automático"),"35%",IF(AND(T35="Correctivo",U35="Manual"),"25%",""))))))</f>
        <v>40%</v>
      </c>
      <c r="W35" s="134" t="s">
        <v>17</v>
      </c>
      <c r="X35" s="134" t="s">
        <v>20</v>
      </c>
      <c r="Y35" s="134" t="s">
        <v>86</v>
      </c>
      <c r="Z35" s="54" t="s">
        <v>283</v>
      </c>
      <c r="AA35" s="114">
        <f>IFERROR(IF(S35="Probabilidad",(L35-(+L35*V35)),IF(S35="Impacto",L35,"")),"")</f>
        <v>0.36</v>
      </c>
      <c r="AB35" s="61" t="str">
        <f>IFERROR(IF(AA35="","",IF(AA35&lt;=0.2,"Muy Baja",IF(AA35&lt;=0.4,"Baja",IF(AA35&lt;=0.6,"Media",IF(AA35&lt;=0.8,"Alta","Muy Alta"))))),"")</f>
        <v>Baja</v>
      </c>
      <c r="AC35" s="60">
        <f>+AA35</f>
        <v>0.36</v>
      </c>
      <c r="AD35" s="61" t="str">
        <f>IFERROR(IF(AE35="","",IF(AE35&lt;=0.2,"Leve",IF(AE35&lt;=0.4,"Menor",IF(AE35&lt;=0.6,"Moderado",IF(AE35&lt;=0.8,"Mayor","Catastrófico"))))),"")</f>
        <v>Catastrófico</v>
      </c>
      <c r="AE35" s="60">
        <f>IFERROR(IF(S35="Impacto",(O35-(+O35*V35)),IF(S35="Probabilidad",O35,"")),"")</f>
        <v>1</v>
      </c>
      <c r="AF35" s="133" t="str">
        <f>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Extremo</v>
      </c>
      <c r="AG35" s="268" t="str">
        <f>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Extremo</v>
      </c>
      <c r="AH35" s="284" t="s">
        <v>101</v>
      </c>
      <c r="AI35" s="272" t="s">
        <v>284</v>
      </c>
      <c r="AJ35" s="272" t="s">
        <v>350</v>
      </c>
      <c r="AK35" s="287" t="s">
        <v>286</v>
      </c>
      <c r="AL35" s="265" t="s">
        <v>231</v>
      </c>
      <c r="AM35" s="272" t="s">
        <v>287</v>
      </c>
      <c r="AN35" s="275" t="s">
        <v>38</v>
      </c>
    </row>
    <row r="36" spans="1:40" ht="144.75" customHeight="1" x14ac:dyDescent="0.2">
      <c r="A36" s="349"/>
      <c r="B36" s="294"/>
      <c r="C36" s="388"/>
      <c r="D36" s="274"/>
      <c r="E36" s="274"/>
      <c r="F36" s="291"/>
      <c r="G36" s="274"/>
      <c r="H36" s="274"/>
      <c r="I36" s="274"/>
      <c r="J36" s="277"/>
      <c r="K36" s="317"/>
      <c r="L36" s="320"/>
      <c r="M36" s="274"/>
      <c r="N36" s="317"/>
      <c r="O36" s="320"/>
      <c r="P36" s="304"/>
      <c r="Q36" s="138">
        <v>2</v>
      </c>
      <c r="R36" s="54" t="s">
        <v>349</v>
      </c>
      <c r="S36" s="113" t="str">
        <f t="shared" ref="S36:S37" si="42">IF(OR(T36="Preventivo",T36="Detectivo"),"Probabilidad",IF(T36="Correctivo","Impacto",""))</f>
        <v>Probabilidad</v>
      </c>
      <c r="T36" s="134" t="s">
        <v>12</v>
      </c>
      <c r="U36" s="134" t="s">
        <v>7</v>
      </c>
      <c r="V36" s="60" t="str">
        <f t="shared" si="41"/>
        <v>40%</v>
      </c>
      <c r="W36" s="134" t="s">
        <v>17</v>
      </c>
      <c r="X36" s="134" t="s">
        <v>20</v>
      </c>
      <c r="Y36" s="134" t="s">
        <v>86</v>
      </c>
      <c r="Z36" s="54" t="s">
        <v>323</v>
      </c>
      <c r="AA36" s="114">
        <f>IFERROR(IF(AND(S35="Probabilidad",S36="Probabilidad"),(AC35-(+AC35*V36)),IF(S36="Probabilidad",(L35-(+L35*V36)),IF(S36="Impacto",AC35,""))),"")</f>
        <v>0.216</v>
      </c>
      <c r="AB36" s="61" t="str">
        <f t="shared" ref="AB36" si="43">IFERROR(IF(AA36="","",IF(AA36&lt;=0.2,"Muy Baja",IF(AA36&lt;=0.4,"Baja",IF(AA36&lt;=0.6,"Media",IF(AA36&lt;=0.8,"Alta","Muy Alta"))))),"")</f>
        <v>Baja</v>
      </c>
      <c r="AC36" s="60">
        <f t="shared" ref="AC36" si="44">+AA36</f>
        <v>0.216</v>
      </c>
      <c r="AD36" s="61" t="str">
        <f t="shared" ref="AD36" si="45">IFERROR(IF(AE36="","",IF(AE36&lt;=0.2,"Leve",IF(AE36&lt;=0.4,"Menor",IF(AE36&lt;=0.6,"Moderado",IF(AE36&lt;=0.8,"Mayor","Catastrófico"))))),"")</f>
        <v>Catastrófico</v>
      </c>
      <c r="AE36" s="60">
        <f>IFERROR(IF(AND(S35="Impacto",S36="Impacto"),(AE35-(+AE35*V36)),IF(S36="Impacto",(#REF!-(+#REF!*V36)),IF(S36="Probabilidad",AE35,""))),"")</f>
        <v>1</v>
      </c>
      <c r="AF36" s="133" t="str">
        <f>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Extremo</v>
      </c>
      <c r="AG36" s="269"/>
      <c r="AH36" s="286"/>
      <c r="AI36" s="274"/>
      <c r="AJ36" s="274"/>
      <c r="AK36" s="289"/>
      <c r="AL36" s="267"/>
      <c r="AM36" s="274"/>
      <c r="AN36" s="277"/>
    </row>
    <row r="37" spans="1:40" ht="140.25" x14ac:dyDescent="0.2">
      <c r="A37" s="205" t="s">
        <v>327</v>
      </c>
      <c r="B37" s="138">
        <v>18</v>
      </c>
      <c r="C37" s="202" t="s">
        <v>471</v>
      </c>
      <c r="D37" s="194" t="s">
        <v>99</v>
      </c>
      <c r="E37" s="128" t="s">
        <v>325</v>
      </c>
      <c r="F37" s="129" t="s">
        <v>326</v>
      </c>
      <c r="G37" s="128" t="s">
        <v>92</v>
      </c>
      <c r="H37" s="128" t="s">
        <v>476</v>
      </c>
      <c r="I37" s="128" t="s">
        <v>340</v>
      </c>
      <c r="J37" s="127">
        <v>23</v>
      </c>
      <c r="K37" s="130" t="str">
        <f>IF(J37&lt;=0,"",IF(J37&lt;=2,"Muy Baja",IF(J37&lt;=24,"Baja",IF(J37&lt;=500,"Media",IF(J37&lt;=5000,"Alta","Muy Alta")))))</f>
        <v>Baja</v>
      </c>
      <c r="L37" s="131">
        <f>IF(K37="","",IF(K37="Muy Baja",0.2,IF(K37="Baja",0.4,IF(K37="Media",0.6,IF(K37="Alta",0.8,IF(K37="Muy Alta",1,))))))</f>
        <v>0.4</v>
      </c>
      <c r="M37" s="128">
        <f>+'Tabla Impacto'!AQ26</f>
        <v>15</v>
      </c>
      <c r="N37" s="130" t="str">
        <f t="shared" si="5"/>
        <v>Catastrofico</v>
      </c>
      <c r="O37" s="200">
        <v>1</v>
      </c>
      <c r="P37" s="137" t="str">
        <f>'[12]Mapa final'!P10</f>
        <v>Extremo</v>
      </c>
      <c r="Q37" s="138">
        <v>1</v>
      </c>
      <c r="R37" s="54" t="s">
        <v>328</v>
      </c>
      <c r="S37" s="113" t="str">
        <f t="shared" si="42"/>
        <v>Probabilidad</v>
      </c>
      <c r="T37" s="134" t="s">
        <v>12</v>
      </c>
      <c r="U37" s="134" t="s">
        <v>7</v>
      </c>
      <c r="V37" s="60" t="str">
        <f t="shared" si="41"/>
        <v>40%</v>
      </c>
      <c r="W37" s="134" t="s">
        <v>17</v>
      </c>
      <c r="X37" s="134" t="s">
        <v>20</v>
      </c>
      <c r="Y37" s="134" t="s">
        <v>86</v>
      </c>
      <c r="Z37" s="54" t="s">
        <v>329</v>
      </c>
      <c r="AA37" s="114">
        <f>IFERROR(IF(S37="Probabilidad",(L37-(+L37*V37)),IF(S37="Impacto",L37,"")),"")</f>
        <v>0.24</v>
      </c>
      <c r="AB37" s="61" t="str">
        <f>IFERROR(IF(AA37="","",IF(AA37&lt;=0.2,"Muy Baja",IF(AA37&lt;=0.4,"Baja",IF(AA37&lt;=0.6,"Media",IF(AA37&lt;=0.8,"Alta","Muy Alta"))))),"")</f>
        <v>Baja</v>
      </c>
      <c r="AC37" s="60">
        <f>+AA37</f>
        <v>0.24</v>
      </c>
      <c r="AD37" s="61" t="str">
        <f>IFERROR(IF(AE37="","",IF(AE37&lt;=0.2,"Leve",IF(AE37&lt;=0.4,"Menor",IF(AE37&lt;=0.6,"Moderado",IF(AE37&lt;=0.8,"Mayor","Catastrófico"))))),"")</f>
        <v>Catastrófico</v>
      </c>
      <c r="AE37" s="60">
        <f>IFERROR(IF(S37="Impacto",(O37-(+O37*V37)),IF(S37="Probabilidad",O37,"")),"")</f>
        <v>1</v>
      </c>
      <c r="AF37" s="133" t="str">
        <f>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Extremo</v>
      </c>
      <c r="AG37" s="133" t="str">
        <f>$AF$37</f>
        <v>Extremo</v>
      </c>
      <c r="AH37" s="134" t="s">
        <v>30</v>
      </c>
      <c r="AI37" s="128" t="s">
        <v>238</v>
      </c>
      <c r="AJ37" s="128" t="s">
        <v>238</v>
      </c>
      <c r="AK37" s="128" t="s">
        <v>238</v>
      </c>
      <c r="AL37" s="128" t="s">
        <v>238</v>
      </c>
      <c r="AM37" s="128" t="s">
        <v>238</v>
      </c>
      <c r="AN37" s="128" t="s">
        <v>238</v>
      </c>
    </row>
    <row r="38" spans="1:40" ht="156" customHeight="1" x14ac:dyDescent="0.2">
      <c r="A38" s="347" t="s">
        <v>332</v>
      </c>
      <c r="B38" s="292">
        <v>19</v>
      </c>
      <c r="C38" s="386" t="s">
        <v>474</v>
      </c>
      <c r="D38" s="298" t="s">
        <v>97</v>
      </c>
      <c r="E38" s="272" t="s">
        <v>280</v>
      </c>
      <c r="F38" s="290" t="s">
        <v>321</v>
      </c>
      <c r="G38" s="272" t="s">
        <v>95</v>
      </c>
      <c r="H38" s="272" t="s">
        <v>330</v>
      </c>
      <c r="I38" s="272" t="s">
        <v>340</v>
      </c>
      <c r="J38" s="275">
        <v>60</v>
      </c>
      <c r="K38" s="315" t="str">
        <f>IF(J38&lt;=0,"",IF(J38&lt;=2,"Muy Baja",IF(J38&lt;=24,"Baja",IF(J38&lt;=500,"Media",IF(J38&lt;=5000,"Alta","Muy Alta")))))</f>
        <v>Media</v>
      </c>
      <c r="L38" s="318">
        <f>IF(K38="","",IF(K38="Muy Baja",0.2,IF(K38="Baja",0.4,IF(K38="Media",0.6,IF(K38="Alta",0.8,IF(K38="Muy Alta",1,))))))</f>
        <v>0.6</v>
      </c>
      <c r="M38" s="272">
        <f>+'Tabla Impacto'!AS26</f>
        <v>17</v>
      </c>
      <c r="N38" s="315" t="str">
        <f t="shared" si="5"/>
        <v>Catastrofico</v>
      </c>
      <c r="O38" s="318">
        <v>1</v>
      </c>
      <c r="P38" s="302" t="s">
        <v>64</v>
      </c>
      <c r="Q38" s="138">
        <v>1</v>
      </c>
      <c r="R38" s="119" t="s">
        <v>352</v>
      </c>
      <c r="S38" s="113" t="str">
        <f>IF(OR(T38="Preventivo",T38="Detectivo"),"Probabilidad",IF(T38="Correctivo","Impacto",""))</f>
        <v>Probabilidad</v>
      </c>
      <c r="T38" s="134" t="s">
        <v>12</v>
      </c>
      <c r="U38" s="134" t="s">
        <v>7</v>
      </c>
      <c r="V38" s="60" t="str">
        <f t="shared" si="41"/>
        <v>40%</v>
      </c>
      <c r="W38" s="134" t="s">
        <v>17</v>
      </c>
      <c r="X38" s="134" t="s">
        <v>20</v>
      </c>
      <c r="Y38" s="134" t="s">
        <v>86</v>
      </c>
      <c r="Z38" s="54" t="s">
        <v>283</v>
      </c>
      <c r="AA38" s="114">
        <f>IFERROR(IF(S38="Probabilidad",(L38-(+L38*V38)),IF(S38="Impacto",L38,"")),"")</f>
        <v>0.36</v>
      </c>
      <c r="AB38" s="61" t="str">
        <f>IFERROR(IF(AA38="","",IF(AA38&lt;=0.2,"Muy Baja",IF(AA38&lt;=0.4,"Baja",IF(AA38&lt;=0.6,"Media",IF(AA38&lt;=0.8,"Alta","Muy Alta"))))),"")</f>
        <v>Baja</v>
      </c>
      <c r="AC38" s="60">
        <f>+AA38</f>
        <v>0.36</v>
      </c>
      <c r="AD38" s="61" t="str">
        <f>IFERROR(IF(AE38="","",IF(AE38&lt;=0.2,"Leve",IF(AE38&lt;=0.4,"Menor",IF(AE38&lt;=0.6,"Moderado",IF(AE38&lt;=0.8,"Mayor","Catastrófico"))))),"")</f>
        <v>Catastrófico</v>
      </c>
      <c r="AE38" s="60">
        <f>IFERROR(IF(S38="Impacto",(O38-(+O38*V38)),IF(S38="Probabilidad",O38,"")),"")</f>
        <v>1</v>
      </c>
      <c r="AF38" s="133" t="str">
        <f>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Extremo</v>
      </c>
      <c r="AG38" s="268" t="str">
        <f>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Extremo</v>
      </c>
      <c r="AH38" s="284" t="s">
        <v>101</v>
      </c>
      <c r="AI38" s="272" t="s">
        <v>284</v>
      </c>
      <c r="AJ38" s="272" t="s">
        <v>285</v>
      </c>
      <c r="AK38" s="287" t="s">
        <v>286</v>
      </c>
      <c r="AL38" s="265" t="s">
        <v>231</v>
      </c>
      <c r="AM38" s="272" t="s">
        <v>287</v>
      </c>
      <c r="AN38" s="275" t="s">
        <v>38</v>
      </c>
    </row>
    <row r="39" spans="1:40" ht="144.75" customHeight="1" x14ac:dyDescent="0.2">
      <c r="A39" s="349"/>
      <c r="B39" s="294"/>
      <c r="C39" s="388"/>
      <c r="D39" s="274"/>
      <c r="E39" s="274"/>
      <c r="F39" s="291"/>
      <c r="G39" s="274"/>
      <c r="H39" s="274"/>
      <c r="I39" s="274"/>
      <c r="J39" s="277"/>
      <c r="K39" s="317"/>
      <c r="L39" s="320"/>
      <c r="M39" s="274"/>
      <c r="N39" s="317"/>
      <c r="O39" s="320"/>
      <c r="P39" s="304"/>
      <c r="Q39" s="138">
        <v>2</v>
      </c>
      <c r="R39" s="54" t="s">
        <v>353</v>
      </c>
      <c r="S39" s="113" t="str">
        <f t="shared" ref="S39" si="46">IF(OR(T39="Preventivo",T39="Detectivo"),"Probabilidad",IF(T39="Correctivo","Impacto",""))</f>
        <v>Probabilidad</v>
      </c>
      <c r="T39" s="134" t="s">
        <v>12</v>
      </c>
      <c r="U39" s="134" t="s">
        <v>7</v>
      </c>
      <c r="V39" s="60" t="str">
        <f t="shared" si="41"/>
        <v>40%</v>
      </c>
      <c r="W39" s="134" t="s">
        <v>17</v>
      </c>
      <c r="X39" s="134" t="s">
        <v>20</v>
      </c>
      <c r="Y39" s="134" t="s">
        <v>86</v>
      </c>
      <c r="Z39" s="54" t="s">
        <v>331</v>
      </c>
      <c r="AA39" s="114">
        <f t="shared" ref="AA39:AA50" si="47">IFERROR(IF(AND(S38="Probabilidad",S39="Probabilidad"),(AC38-(+AC38*V39)),IF(S39="Probabilidad",(L38-(+L38*V39)),IF(S39="Impacto",AC38,""))),"")</f>
        <v>0.216</v>
      </c>
      <c r="AB39" s="61" t="str">
        <f t="shared" ref="AB39" si="48">IFERROR(IF(AA39="","",IF(AA39&lt;=0.2,"Muy Baja",IF(AA39&lt;=0.4,"Baja",IF(AA39&lt;=0.6,"Media",IF(AA39&lt;=0.8,"Alta","Muy Alta"))))),"")</f>
        <v>Baja</v>
      </c>
      <c r="AC39" s="60">
        <f t="shared" ref="AC39" si="49">+AA39</f>
        <v>0.216</v>
      </c>
      <c r="AD39" s="61" t="str">
        <f t="shared" ref="AD39" si="50">IFERROR(IF(AE39="","",IF(AE39&lt;=0.2,"Leve",IF(AE39&lt;=0.4,"Menor",IF(AE39&lt;=0.6,"Moderado",IF(AE39&lt;=0.8,"Mayor","Catastrófico"))))),"")</f>
        <v>Catastrófico</v>
      </c>
      <c r="AE39" s="60">
        <f>IFERROR(IF(AND(S38="Impacto",S39="Impacto"),(AE38-(+AE38*V39)),IF(S39="Impacto",(#REF!-(+#REF!*V39)),IF(S39="Probabilidad",AE38,""))),"")</f>
        <v>1</v>
      </c>
      <c r="AF39" s="133" t="str">
        <f>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Extremo</v>
      </c>
      <c r="AG39" s="269"/>
      <c r="AH39" s="286"/>
      <c r="AI39" s="274"/>
      <c r="AJ39" s="274"/>
      <c r="AK39" s="289"/>
      <c r="AL39" s="267"/>
      <c r="AM39" s="274"/>
      <c r="AN39" s="277"/>
    </row>
    <row r="40" spans="1:40" ht="242.25" x14ac:dyDescent="0.2">
      <c r="A40" s="347" t="s">
        <v>333</v>
      </c>
      <c r="B40" s="292">
        <v>20</v>
      </c>
      <c r="C40" s="296" t="s">
        <v>474</v>
      </c>
      <c r="D40" s="377" t="s">
        <v>359</v>
      </c>
      <c r="E40" s="272" t="s">
        <v>360</v>
      </c>
      <c r="F40" s="290" t="s">
        <v>372</v>
      </c>
      <c r="G40" s="272" t="s">
        <v>95</v>
      </c>
      <c r="H40" s="272" t="s">
        <v>382</v>
      </c>
      <c r="I40" s="290" t="s">
        <v>387</v>
      </c>
      <c r="J40" s="275">
        <v>250</v>
      </c>
      <c r="K40" s="315" t="str">
        <f>IF(J40&lt;=0,"",IF(J40&lt;=2,"Muy Baja",IF(J40&lt;=24,"Baja",IF(J40&lt;=500,"Media",IF(J40&lt;=5000,"Alta","Muy Alta")))))</f>
        <v>Media</v>
      </c>
      <c r="L40" s="318">
        <f t="shared" ref="L40:L42" si="51">IF(K40="","",IF(K40="Muy Baja",0.2,IF(K40="Baja",0.4,IF(K40="Media",0.6,IF(K40="Alta",0.8,IF(K40="Muy Alta",1,))))))</f>
        <v>0.6</v>
      </c>
      <c r="M40" s="272">
        <f>+'Tabla Impacto'!AU26</f>
        <v>15</v>
      </c>
      <c r="N40" s="315" t="str">
        <f t="shared" si="5"/>
        <v>Catastrofico</v>
      </c>
      <c r="O40" s="318">
        <v>1</v>
      </c>
      <c r="P40" s="323" t="s">
        <v>64</v>
      </c>
      <c r="Q40" s="155">
        <v>1</v>
      </c>
      <c r="R40" s="158" t="s">
        <v>391</v>
      </c>
      <c r="S40" s="160" t="str">
        <f>'[13]Mapa final'!S10</f>
        <v>Probabilidad</v>
      </c>
      <c r="T40" s="161" t="s">
        <v>12</v>
      </c>
      <c r="U40" s="161" t="s">
        <v>7</v>
      </c>
      <c r="V40" s="165" t="str">
        <f t="shared" si="41"/>
        <v>40%</v>
      </c>
      <c r="W40" s="166" t="s">
        <v>18</v>
      </c>
      <c r="X40" s="167" t="s">
        <v>20</v>
      </c>
      <c r="Y40" s="168" t="s">
        <v>86</v>
      </c>
      <c r="Z40" s="172" t="s">
        <v>402</v>
      </c>
      <c r="AA40" s="114">
        <f t="shared" si="47"/>
        <v>0.12959999999999999</v>
      </c>
      <c r="AB40" s="61" t="str">
        <f t="shared" ref="AB40:AB50" si="52">IFERROR(IF(AA40="","",IF(AA40&lt;=0.2,"Muy Baja",IF(AA40&lt;=0.4,"Baja",IF(AA40&lt;=0.6,"Media",IF(AA40&lt;=0.8,"Alta","Muy Alta"))))),"")</f>
        <v>Muy Baja</v>
      </c>
      <c r="AC40" s="60">
        <f t="shared" ref="AC40:AC50" si="53">+AA40</f>
        <v>0.12959999999999999</v>
      </c>
      <c r="AD40" s="61" t="str">
        <f t="shared" ref="AD40:AD50" si="54">IFERROR(IF(AE40="","",IF(AE40&lt;=0.2,"Leve",IF(AE40&lt;=0.4,"Menor",IF(AE40&lt;=0.6,"Moderado",IF(AE40&lt;=0.8,"Mayor","Catastrófico"))))),"")</f>
        <v>Catastrófico</v>
      </c>
      <c r="AE40" s="60">
        <f>IFERROR(IF(AND(S39="Impacto",S40="Impacto"),(AE39-(+AE39*V40)),IF(S40="Impacto",(#REF!-(+#REF!*V40)),IF(S40="Probabilidad",AE39,""))),"")</f>
        <v>1</v>
      </c>
      <c r="AF40" s="133" t="str">
        <f t="shared" ref="AF40:AF50" si="55">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Extremo</v>
      </c>
      <c r="AG40" s="268" t="str">
        <f t="shared" ref="AG40" si="56">$AD$10</f>
        <v>Moderado</v>
      </c>
      <c r="AH40" s="284" t="s">
        <v>101</v>
      </c>
      <c r="AI40" s="272" t="s">
        <v>412</v>
      </c>
      <c r="AJ40" s="290" t="s">
        <v>413</v>
      </c>
      <c r="AK40" s="287" t="s">
        <v>414</v>
      </c>
      <c r="AL40" s="287" t="s">
        <v>231</v>
      </c>
      <c r="AM40" s="272" t="s">
        <v>415</v>
      </c>
      <c r="AN40" s="275" t="s">
        <v>38</v>
      </c>
    </row>
    <row r="41" spans="1:40" ht="137.25" customHeight="1" x14ac:dyDescent="0.2">
      <c r="A41" s="349"/>
      <c r="B41" s="294"/>
      <c r="C41" s="376"/>
      <c r="D41" s="297"/>
      <c r="E41" s="274"/>
      <c r="F41" s="291"/>
      <c r="G41" s="274"/>
      <c r="H41" s="274"/>
      <c r="I41" s="291"/>
      <c r="J41" s="277"/>
      <c r="K41" s="317"/>
      <c r="L41" s="320"/>
      <c r="M41" s="274"/>
      <c r="N41" s="317"/>
      <c r="O41" s="320"/>
      <c r="P41" s="324"/>
      <c r="Q41" s="138">
        <v>2</v>
      </c>
      <c r="R41" s="54" t="s">
        <v>392</v>
      </c>
      <c r="S41" s="113" t="str">
        <f>'[13]Mapa final'!S11</f>
        <v>Probabilidad</v>
      </c>
      <c r="T41" s="134" t="s">
        <v>12</v>
      </c>
      <c r="U41" s="134" t="s">
        <v>7</v>
      </c>
      <c r="V41" s="60" t="str">
        <f t="shared" si="41"/>
        <v>40%</v>
      </c>
      <c r="W41" s="169" t="s">
        <v>17</v>
      </c>
      <c r="X41" s="169" t="s">
        <v>20</v>
      </c>
      <c r="Y41" s="169" t="s">
        <v>86</v>
      </c>
      <c r="Z41" s="173" t="s">
        <v>227</v>
      </c>
      <c r="AA41" s="114">
        <f t="shared" si="47"/>
        <v>7.7759999999999996E-2</v>
      </c>
      <c r="AB41" s="61" t="str">
        <f t="shared" si="52"/>
        <v>Muy Baja</v>
      </c>
      <c r="AC41" s="60">
        <f t="shared" si="53"/>
        <v>7.7759999999999996E-2</v>
      </c>
      <c r="AD41" s="61" t="str">
        <f t="shared" si="54"/>
        <v>Catastrófico</v>
      </c>
      <c r="AE41" s="60">
        <f>IFERROR(IF(AND(S40="Impacto",S41="Impacto"),(AE40-(+AE40*V41)),IF(S41="Impacto",(#REF!-(+#REF!*V41)),IF(S41="Probabilidad",AE40,""))),"")</f>
        <v>1</v>
      </c>
      <c r="AF41" s="133" t="str">
        <f t="shared" si="55"/>
        <v>Extremo</v>
      </c>
      <c r="AG41" s="269"/>
      <c r="AH41" s="286"/>
      <c r="AI41" s="274"/>
      <c r="AJ41" s="291"/>
      <c r="AK41" s="289"/>
      <c r="AL41" s="289"/>
      <c r="AM41" s="274"/>
      <c r="AN41" s="277"/>
    </row>
    <row r="42" spans="1:40" ht="191.25" x14ac:dyDescent="0.2">
      <c r="A42" s="210" t="s">
        <v>320</v>
      </c>
      <c r="B42" s="138">
        <v>21</v>
      </c>
      <c r="C42" s="202" t="s">
        <v>474</v>
      </c>
      <c r="D42" s="175" t="s">
        <v>361</v>
      </c>
      <c r="E42" s="144" t="s">
        <v>362</v>
      </c>
      <c r="F42" s="147" t="s">
        <v>373</v>
      </c>
      <c r="G42" s="129" t="s">
        <v>95</v>
      </c>
      <c r="H42" s="145" t="s">
        <v>383</v>
      </c>
      <c r="I42" s="148" t="s">
        <v>387</v>
      </c>
      <c r="J42" s="150">
        <v>360</v>
      </c>
      <c r="K42" s="130" t="str">
        <f>IF(J42&lt;=0,"",IF(J42&lt;=2,"Muy Baja",IF(J42&lt;=24,"Baja",IF(J42&lt;=500,"Media",IF(J42&lt;=5000,"Alta","Muy Alta")))))</f>
        <v>Media</v>
      </c>
      <c r="L42" s="131">
        <f t="shared" si="51"/>
        <v>0.6</v>
      </c>
      <c r="M42" s="128">
        <f>'Tabla Impacto'!AW26</f>
        <v>14</v>
      </c>
      <c r="N42" s="130" t="str">
        <f t="shared" si="5"/>
        <v>Mayor</v>
      </c>
      <c r="O42" s="200">
        <f t="shared" si="17"/>
        <v>0.8</v>
      </c>
      <c r="P42" s="176" t="s">
        <v>65</v>
      </c>
      <c r="Q42" s="143">
        <v>1</v>
      </c>
      <c r="R42" s="129" t="s">
        <v>393</v>
      </c>
      <c r="S42" s="113" t="str">
        <f>'[13]Mapa final'!S12</f>
        <v>Probabilidad</v>
      </c>
      <c r="T42" s="162" t="s">
        <v>12</v>
      </c>
      <c r="U42" s="164" t="s">
        <v>7</v>
      </c>
      <c r="V42" s="149"/>
      <c r="W42" s="162" t="s">
        <v>17</v>
      </c>
      <c r="X42" s="162" t="s">
        <v>20</v>
      </c>
      <c r="Y42" s="162" t="s">
        <v>86</v>
      </c>
      <c r="Z42" s="144" t="s">
        <v>403</v>
      </c>
      <c r="AA42" s="114">
        <f t="shared" si="47"/>
        <v>7.7759999999999996E-2</v>
      </c>
      <c r="AB42" s="61" t="str">
        <f t="shared" si="52"/>
        <v>Muy Baja</v>
      </c>
      <c r="AC42" s="60">
        <f t="shared" si="53"/>
        <v>7.7759999999999996E-2</v>
      </c>
      <c r="AD42" s="61" t="str">
        <f t="shared" si="54"/>
        <v>Catastrófico</v>
      </c>
      <c r="AE42" s="60">
        <f>IFERROR(IF(AND(S41="Impacto",S42="Impacto"),(AE41-(+AE41*V42)),IF(S42="Impacto",(#REF!-(+#REF!*V42)),IF(S42="Probabilidad",AE41,""))),"")</f>
        <v>1</v>
      </c>
      <c r="AF42" s="133" t="str">
        <f t="shared" si="55"/>
        <v>Extremo</v>
      </c>
      <c r="AG42" s="268" t="str">
        <f>$AD$12</f>
        <v>Moderado</v>
      </c>
      <c r="AH42" s="161" t="s">
        <v>101</v>
      </c>
      <c r="AI42" s="175" t="s">
        <v>416</v>
      </c>
      <c r="AJ42" s="175" t="s">
        <v>417</v>
      </c>
      <c r="AK42" s="175" t="s">
        <v>418</v>
      </c>
      <c r="AL42" s="175" t="s">
        <v>231</v>
      </c>
      <c r="AM42" s="175" t="s">
        <v>419</v>
      </c>
      <c r="AN42" s="175" t="s">
        <v>38</v>
      </c>
    </row>
    <row r="43" spans="1:40" ht="78" x14ac:dyDescent="0.2">
      <c r="A43" s="211" t="s">
        <v>320</v>
      </c>
      <c r="B43" s="138">
        <v>22</v>
      </c>
      <c r="C43" s="202" t="s">
        <v>474</v>
      </c>
      <c r="D43" s="195" t="s">
        <v>361</v>
      </c>
      <c r="E43" s="146" t="s">
        <v>363</v>
      </c>
      <c r="F43" s="129" t="s">
        <v>374</v>
      </c>
      <c r="G43" s="129" t="s">
        <v>95</v>
      </c>
      <c r="H43" s="145" t="s">
        <v>383</v>
      </c>
      <c r="I43" s="148" t="s">
        <v>387</v>
      </c>
      <c r="J43" s="127">
        <v>12</v>
      </c>
      <c r="K43" s="130" t="str">
        <f>IF(J43&lt;=0,"",IF(J43&lt;=2,"Muy Baja",IF(J43&lt;=24,"Baja",IF(J43&lt;=500,"Media",IF(J43&lt;=5000,"Alta","Muy Alta")))))</f>
        <v>Baja</v>
      </c>
      <c r="L43" s="131">
        <f>IF(K43="","",IF(K43="Muy Baja",0.2,IF(K43="Baja",0.4,IF(K43="Media",0.6,IF(K43="Alta",0.8,IF(K43="Muy Alta",1,))))))</f>
        <v>0.4</v>
      </c>
      <c r="M43" s="128">
        <f>+'Tabla Impacto'!AY26</f>
        <v>9</v>
      </c>
      <c r="N43" s="130" t="str">
        <f t="shared" si="5"/>
        <v>Moderado</v>
      </c>
      <c r="O43" s="200">
        <f t="shared" si="17"/>
        <v>0.6</v>
      </c>
      <c r="P43" s="154" t="s">
        <v>66</v>
      </c>
      <c r="Q43" s="143">
        <v>1</v>
      </c>
      <c r="R43" s="145" t="s">
        <v>394</v>
      </c>
      <c r="S43" s="113" t="str">
        <f>'[13]Mapa final'!S13</f>
        <v>Probabilidad</v>
      </c>
      <c r="T43" s="163" t="s">
        <v>12</v>
      </c>
      <c r="U43" s="164" t="s">
        <v>7</v>
      </c>
      <c r="V43" s="148"/>
      <c r="W43" s="163" t="s">
        <v>18</v>
      </c>
      <c r="X43" s="163" t="s">
        <v>20</v>
      </c>
      <c r="Y43" s="163" t="s">
        <v>86</v>
      </c>
      <c r="Z43" s="145" t="s">
        <v>404</v>
      </c>
      <c r="AA43" s="114">
        <f t="shared" si="47"/>
        <v>7.7759999999999996E-2</v>
      </c>
      <c r="AB43" s="61" t="str">
        <f t="shared" si="52"/>
        <v>Muy Baja</v>
      </c>
      <c r="AC43" s="60">
        <f t="shared" si="53"/>
        <v>7.7759999999999996E-2</v>
      </c>
      <c r="AD43" s="61" t="str">
        <f t="shared" si="54"/>
        <v>Catastrófico</v>
      </c>
      <c r="AE43" s="60">
        <f>IFERROR(IF(AND(S42="Impacto",S43="Impacto"),(AE42-(+AE42*V43)),IF(S43="Impacto",(#REF!-(+#REF!*V43)),IF(S43="Probabilidad",AE42,""))),"")</f>
        <v>1</v>
      </c>
      <c r="AF43" s="133" t="str">
        <f t="shared" si="55"/>
        <v>Extremo</v>
      </c>
      <c r="AG43" s="269"/>
      <c r="AH43" s="169" t="s">
        <v>101</v>
      </c>
      <c r="AI43" s="175" t="s">
        <v>420</v>
      </c>
      <c r="AJ43" s="175" t="s">
        <v>421</v>
      </c>
      <c r="AK43" s="175" t="s">
        <v>422</v>
      </c>
      <c r="AL43" s="175" t="s">
        <v>423</v>
      </c>
      <c r="AM43" s="103" t="s">
        <v>415</v>
      </c>
      <c r="AN43" s="145" t="s">
        <v>38</v>
      </c>
    </row>
    <row r="44" spans="1:40" ht="229.5" x14ac:dyDescent="0.2">
      <c r="A44" s="212" t="s">
        <v>306</v>
      </c>
      <c r="B44" s="138">
        <v>23</v>
      </c>
      <c r="C44" s="202" t="s">
        <v>474</v>
      </c>
      <c r="D44" s="175" t="s">
        <v>364</v>
      </c>
      <c r="E44" s="145" t="s">
        <v>365</v>
      </c>
      <c r="F44" s="145" t="s">
        <v>375</v>
      </c>
      <c r="G44" s="129" t="s">
        <v>95</v>
      </c>
      <c r="H44" s="145" t="s">
        <v>354</v>
      </c>
      <c r="I44" s="148" t="s">
        <v>387</v>
      </c>
      <c r="J44" s="151">
        <v>12</v>
      </c>
      <c r="K44" s="130" t="str">
        <f>IF(J44&lt;=0,"",IF(J44&lt;=2,"Muy Baja",IF(J44&lt;=24,"Baja",IF(J44&lt;=500,"Media",IF(J44&lt;=5000,"Alta","Muy Alta")))))</f>
        <v>Baja</v>
      </c>
      <c r="L44" s="152">
        <f>IF(K44="","",IF(K44="Muy Baja",0.2,IF(K44="Baja",0.4,IF(K44="Media",0.6,IF(K44="Alta",0.8,IF(K44="Muy Alta",1,))))))</f>
        <v>0.4</v>
      </c>
      <c r="M44" s="128">
        <v>15</v>
      </c>
      <c r="N44" s="130" t="str">
        <f t="shared" si="5"/>
        <v>Catastrofico</v>
      </c>
      <c r="O44" s="200">
        <v>1</v>
      </c>
      <c r="P44" s="154" t="s">
        <v>64</v>
      </c>
      <c r="Q44" s="156">
        <v>1</v>
      </c>
      <c r="R44" s="129" t="s">
        <v>395</v>
      </c>
      <c r="S44" s="113" t="str">
        <f>'[13]Mapa final'!S14</f>
        <v>Probabilidad</v>
      </c>
      <c r="T44" s="163" t="s">
        <v>12</v>
      </c>
      <c r="U44" s="163" t="s">
        <v>7</v>
      </c>
      <c r="V44" s="148"/>
      <c r="W44" s="163" t="s">
        <v>17</v>
      </c>
      <c r="X44" s="163" t="s">
        <v>20</v>
      </c>
      <c r="Y44" s="163" t="s">
        <v>86</v>
      </c>
      <c r="Z44" s="145" t="s">
        <v>405</v>
      </c>
      <c r="AA44" s="114">
        <f t="shared" si="47"/>
        <v>7.7759999999999996E-2</v>
      </c>
      <c r="AB44" s="61" t="str">
        <f t="shared" si="52"/>
        <v>Muy Baja</v>
      </c>
      <c r="AC44" s="60">
        <f t="shared" si="53"/>
        <v>7.7759999999999996E-2</v>
      </c>
      <c r="AD44" s="61" t="str">
        <f t="shared" si="54"/>
        <v>Catastrófico</v>
      </c>
      <c r="AE44" s="60">
        <f>IFERROR(IF(AND(S43="Impacto",S44="Impacto"),(AE43-(+AE43*V44)),IF(S44="Impacto",(#REF!-(+#REF!*V44)),IF(S44="Probabilidad",AE43,""))),"")</f>
        <v>1</v>
      </c>
      <c r="AF44" s="133" t="str">
        <f t="shared" si="55"/>
        <v>Extremo</v>
      </c>
      <c r="AG44" s="122" t="str">
        <f>$AD$14</f>
        <v>Moderado</v>
      </c>
      <c r="AH44" s="169" t="s">
        <v>101</v>
      </c>
      <c r="AI44" s="175" t="s">
        <v>424</v>
      </c>
      <c r="AJ44" s="175" t="s">
        <v>425</v>
      </c>
      <c r="AK44" s="175" t="s">
        <v>418</v>
      </c>
      <c r="AL44" s="175" t="s">
        <v>231</v>
      </c>
      <c r="AM44" s="175" t="s">
        <v>415</v>
      </c>
      <c r="AN44" s="175" t="s">
        <v>38</v>
      </c>
    </row>
    <row r="45" spans="1:40" ht="178.5" x14ac:dyDescent="0.2">
      <c r="A45" s="212" t="s">
        <v>306</v>
      </c>
      <c r="B45" s="138">
        <v>24</v>
      </c>
      <c r="C45" s="202" t="s">
        <v>474</v>
      </c>
      <c r="D45" s="175" t="s">
        <v>364</v>
      </c>
      <c r="E45" s="145" t="s">
        <v>366</v>
      </c>
      <c r="F45" s="145" t="s">
        <v>376</v>
      </c>
      <c r="G45" s="129" t="s">
        <v>93</v>
      </c>
      <c r="H45" s="145" t="s">
        <v>354</v>
      </c>
      <c r="I45" s="148" t="s">
        <v>388</v>
      </c>
      <c r="J45" s="151">
        <v>12</v>
      </c>
      <c r="K45" s="130" t="str">
        <f>IF(J45&lt;=0,"",IF(J45&lt;=2,"Muy Baja",IF(J45&lt;=24,"Baja",IF(J45&lt;=500,"Media",IF(J45&lt;=5000,"Alta","Muy Alta")))))</f>
        <v>Baja</v>
      </c>
      <c r="L45" s="152">
        <f>IF(K45="","",IF(K45="Muy Baja",0.2,IF(K45="Baja",0.4,IF(K45="Media",0.6,IF(K45="Alta",0.8,IF(K45="Muy Alta",1,))))))</f>
        <v>0.4</v>
      </c>
      <c r="M45" s="128">
        <f>+'Tabla Impacto'!BC26</f>
        <v>14</v>
      </c>
      <c r="N45" s="130" t="str">
        <f t="shared" si="5"/>
        <v>Mayor</v>
      </c>
      <c r="O45" s="200">
        <f t="shared" si="17"/>
        <v>0.8</v>
      </c>
      <c r="P45" s="154" t="s">
        <v>65</v>
      </c>
      <c r="Q45" s="157">
        <v>1</v>
      </c>
      <c r="R45" s="144" t="s">
        <v>396</v>
      </c>
      <c r="S45" s="113" t="str">
        <f>'[13]Mapa final'!S15</f>
        <v>Probabilidad</v>
      </c>
      <c r="T45" s="162" t="s">
        <v>12</v>
      </c>
      <c r="U45" s="162" t="s">
        <v>7</v>
      </c>
      <c r="V45" s="149"/>
      <c r="W45" s="162" t="s">
        <v>17</v>
      </c>
      <c r="X45" s="162" t="s">
        <v>20</v>
      </c>
      <c r="Y45" s="162" t="s">
        <v>86</v>
      </c>
      <c r="Z45" s="144" t="s">
        <v>406</v>
      </c>
      <c r="AA45" s="114">
        <f t="shared" si="47"/>
        <v>7.7759999999999996E-2</v>
      </c>
      <c r="AB45" s="61" t="str">
        <f t="shared" si="52"/>
        <v>Muy Baja</v>
      </c>
      <c r="AC45" s="60">
        <f t="shared" si="53"/>
        <v>7.7759999999999996E-2</v>
      </c>
      <c r="AD45" s="61" t="str">
        <f t="shared" si="54"/>
        <v>Catastrófico</v>
      </c>
      <c r="AE45" s="60">
        <f>IFERROR(IF(AND(S44="Impacto",S45="Impacto"),(AE44-(+AE44*V45)),IF(S45="Impacto",(#REF!-(+#REF!*V45)),IF(S45="Probabilidad",AE44,""))),"")</f>
        <v>1</v>
      </c>
      <c r="AF45" s="133" t="str">
        <f t="shared" si="55"/>
        <v>Extremo</v>
      </c>
      <c r="AG45" s="122" t="str">
        <f t="shared" ref="AG45" si="57">$AD$12</f>
        <v>Moderado</v>
      </c>
      <c r="AH45" s="169" t="s">
        <v>30</v>
      </c>
      <c r="AI45" s="175" t="s">
        <v>238</v>
      </c>
      <c r="AJ45" s="175" t="s">
        <v>238</v>
      </c>
      <c r="AK45" s="175" t="s">
        <v>238</v>
      </c>
      <c r="AL45" s="175" t="s">
        <v>238</v>
      </c>
      <c r="AM45" s="175" t="s">
        <v>238</v>
      </c>
      <c r="AN45" s="175" t="s">
        <v>238</v>
      </c>
    </row>
    <row r="46" spans="1:40" ht="204" x14ac:dyDescent="0.2">
      <c r="A46" s="210" t="s">
        <v>470</v>
      </c>
      <c r="B46" s="138">
        <v>25</v>
      </c>
      <c r="C46" s="145" t="s">
        <v>474</v>
      </c>
      <c r="D46" s="196" t="s">
        <v>364</v>
      </c>
      <c r="E46" s="144" t="s">
        <v>367</v>
      </c>
      <c r="F46" s="144" t="s">
        <v>377</v>
      </c>
      <c r="G46" s="147" t="s">
        <v>96</v>
      </c>
      <c r="H46" s="144" t="s">
        <v>355</v>
      </c>
      <c r="I46" s="149" t="s">
        <v>388</v>
      </c>
      <c r="J46" s="150">
        <v>35</v>
      </c>
      <c r="K46" s="130" t="str">
        <f t="shared" ref="K46:K50" si="58">IF(J46&lt;=0,"",IF(J46&lt;=2,"Muy Baja",IF(J46&lt;=24,"Baja",IF(J46&lt;=500,"Media",IF(J46&lt;=5000,"Alta","Muy Alta")))))</f>
        <v>Media</v>
      </c>
      <c r="L46" s="152">
        <f t="shared" ref="L46:L50" si="59">IF(K46="","",IF(K46="Muy Baja",0.2,IF(K46="Baja",0.4,IF(K46="Media",0.6,IF(K46="Alta",0.8,IF(K46="Muy Alta",1,))))))</f>
        <v>0.6</v>
      </c>
      <c r="M46" s="130">
        <f>+'Tabla Impacto'!BE26</f>
        <v>3</v>
      </c>
      <c r="N46" s="130" t="str">
        <f t="shared" si="5"/>
        <v>Leve</v>
      </c>
      <c r="O46" s="200">
        <v>0.2</v>
      </c>
      <c r="P46" s="154" t="s">
        <v>66</v>
      </c>
      <c r="Q46" s="138">
        <v>1</v>
      </c>
      <c r="R46" s="144" t="s">
        <v>397</v>
      </c>
      <c r="S46" s="113" t="str">
        <f>'[13]Mapa final'!S16</f>
        <v>Probabilidad</v>
      </c>
      <c r="T46" s="162" t="s">
        <v>12</v>
      </c>
      <c r="U46" s="162" t="s">
        <v>7</v>
      </c>
      <c r="V46" s="149"/>
      <c r="W46" s="162" t="s">
        <v>17</v>
      </c>
      <c r="X46" s="162" t="s">
        <v>20</v>
      </c>
      <c r="Y46" s="162" t="s">
        <v>86</v>
      </c>
      <c r="Z46" s="144" t="s">
        <v>407</v>
      </c>
      <c r="AA46" s="114">
        <f t="shared" si="47"/>
        <v>7.7759999999999996E-2</v>
      </c>
      <c r="AB46" s="61" t="str">
        <f t="shared" si="52"/>
        <v>Muy Baja</v>
      </c>
      <c r="AC46" s="60">
        <f t="shared" si="53"/>
        <v>7.7759999999999996E-2</v>
      </c>
      <c r="AD46" s="61" t="str">
        <f t="shared" si="54"/>
        <v>Catastrófico</v>
      </c>
      <c r="AE46" s="60">
        <f>IFERROR(IF(AND(S45="Impacto",S46="Impacto"),(AE45-(+AE45*V46)),IF(S46="Impacto",(#REF!-(+#REF!*V46)),IF(S46="Probabilidad",AE45,""))),"")</f>
        <v>1</v>
      </c>
      <c r="AF46" s="133" t="str">
        <f t="shared" si="55"/>
        <v>Extremo</v>
      </c>
      <c r="AG46" s="133" t="str">
        <f>$AF$46</f>
        <v>Extremo</v>
      </c>
      <c r="AH46" s="169" t="s">
        <v>101</v>
      </c>
      <c r="AI46" s="175" t="s">
        <v>426</v>
      </c>
      <c r="AJ46" s="175" t="s">
        <v>427</v>
      </c>
      <c r="AK46" s="175" t="s">
        <v>428</v>
      </c>
      <c r="AL46" s="175" t="s">
        <v>231</v>
      </c>
      <c r="AM46" s="175" t="s">
        <v>429</v>
      </c>
      <c r="AN46" s="175" t="s">
        <v>38</v>
      </c>
    </row>
    <row r="47" spans="1:40" ht="165.75" x14ac:dyDescent="0.2">
      <c r="A47" s="213" t="s">
        <v>356</v>
      </c>
      <c r="B47" s="138">
        <v>26</v>
      </c>
      <c r="C47" s="202" t="s">
        <v>474</v>
      </c>
      <c r="D47" s="175" t="s">
        <v>364</v>
      </c>
      <c r="E47" s="145" t="s">
        <v>368</v>
      </c>
      <c r="F47" s="145" t="s">
        <v>378</v>
      </c>
      <c r="G47" s="129" t="s">
        <v>95</v>
      </c>
      <c r="H47" s="145" t="s">
        <v>384</v>
      </c>
      <c r="I47" s="148" t="s">
        <v>388</v>
      </c>
      <c r="J47" s="150">
        <v>100</v>
      </c>
      <c r="K47" s="130" t="str">
        <f t="shared" si="58"/>
        <v>Media</v>
      </c>
      <c r="L47" s="152">
        <f t="shared" si="59"/>
        <v>0.6</v>
      </c>
      <c r="M47" s="130">
        <f>+'Tabla Impacto'!BG26</f>
        <v>17</v>
      </c>
      <c r="N47" s="130" t="str">
        <f t="shared" si="5"/>
        <v>Catastrofico</v>
      </c>
      <c r="O47" s="200">
        <v>1</v>
      </c>
      <c r="P47" s="154" t="s">
        <v>64</v>
      </c>
      <c r="Q47" s="138">
        <v>1</v>
      </c>
      <c r="R47" s="145" t="s">
        <v>398</v>
      </c>
      <c r="S47" s="113" t="str">
        <f>'[13]Mapa final'!S17</f>
        <v>Probabilidad</v>
      </c>
      <c r="T47" s="163" t="s">
        <v>12</v>
      </c>
      <c r="U47" s="163" t="s">
        <v>8</v>
      </c>
      <c r="V47" s="148"/>
      <c r="W47" s="163" t="s">
        <v>17</v>
      </c>
      <c r="X47" s="163" t="s">
        <v>20</v>
      </c>
      <c r="Y47" s="163" t="s">
        <v>86</v>
      </c>
      <c r="Z47" s="145" t="s">
        <v>408</v>
      </c>
      <c r="AA47" s="114">
        <f t="shared" si="47"/>
        <v>7.7759999999999996E-2</v>
      </c>
      <c r="AB47" s="61" t="str">
        <f t="shared" si="52"/>
        <v>Muy Baja</v>
      </c>
      <c r="AC47" s="60">
        <f t="shared" si="53"/>
        <v>7.7759999999999996E-2</v>
      </c>
      <c r="AD47" s="61" t="str">
        <f t="shared" si="54"/>
        <v>Catastrófico</v>
      </c>
      <c r="AE47" s="60">
        <f>IFERROR(IF(AND(S46="Impacto",S47="Impacto"),(AE46-(+AE46*V47)),IF(S47="Impacto",(#REF!-(+#REF!*V47)),IF(S47="Probabilidad",AE46,""))),"")</f>
        <v>1</v>
      </c>
      <c r="AF47" s="133" t="str">
        <f t="shared" si="55"/>
        <v>Extremo</v>
      </c>
      <c r="AG47" s="199" t="str">
        <f>$AF$47</f>
        <v>Extremo</v>
      </c>
      <c r="AH47" s="169" t="s">
        <v>30</v>
      </c>
      <c r="AI47" s="175" t="s">
        <v>238</v>
      </c>
      <c r="AJ47" s="175" t="s">
        <v>238</v>
      </c>
      <c r="AK47" s="175" t="s">
        <v>238</v>
      </c>
      <c r="AL47" s="175" t="s">
        <v>238</v>
      </c>
      <c r="AM47" s="175" t="s">
        <v>238</v>
      </c>
      <c r="AN47" s="175" t="s">
        <v>238</v>
      </c>
    </row>
    <row r="48" spans="1:40" ht="114.75" x14ac:dyDescent="0.2">
      <c r="A48" s="210" t="s">
        <v>327</v>
      </c>
      <c r="B48" s="138">
        <v>27</v>
      </c>
      <c r="C48" s="202" t="s">
        <v>474</v>
      </c>
      <c r="D48" s="196" t="s">
        <v>364</v>
      </c>
      <c r="E48" s="144" t="s">
        <v>369</v>
      </c>
      <c r="F48" s="144" t="s">
        <v>379</v>
      </c>
      <c r="G48" s="147" t="s">
        <v>95</v>
      </c>
      <c r="H48" s="144" t="s">
        <v>385</v>
      </c>
      <c r="I48" s="149" t="s">
        <v>389</v>
      </c>
      <c r="J48" s="149">
        <v>30</v>
      </c>
      <c r="K48" s="130" t="str">
        <f t="shared" si="58"/>
        <v>Media</v>
      </c>
      <c r="L48" s="152">
        <f t="shared" si="59"/>
        <v>0.6</v>
      </c>
      <c r="M48" s="130">
        <f>+'Tabla Impacto'!BI26</f>
        <v>14</v>
      </c>
      <c r="N48" s="130" t="str">
        <f t="shared" si="5"/>
        <v>Mayor</v>
      </c>
      <c r="O48" s="200">
        <f t="shared" si="17"/>
        <v>0.8</v>
      </c>
      <c r="P48" s="154" t="s">
        <v>65</v>
      </c>
      <c r="Q48" s="138">
        <v>1</v>
      </c>
      <c r="R48" s="145" t="s">
        <v>399</v>
      </c>
      <c r="S48" s="113" t="str">
        <f>'[13]Mapa final'!S18</f>
        <v>Probabilidad</v>
      </c>
      <c r="T48" s="163" t="s">
        <v>12</v>
      </c>
      <c r="U48" s="163" t="s">
        <v>7</v>
      </c>
      <c r="V48" s="148"/>
      <c r="W48" s="163" t="s">
        <v>18</v>
      </c>
      <c r="X48" s="163" t="s">
        <v>20</v>
      </c>
      <c r="Y48" s="163" t="s">
        <v>86</v>
      </c>
      <c r="Z48" s="145" t="s">
        <v>409</v>
      </c>
      <c r="AA48" s="114">
        <f t="shared" si="47"/>
        <v>7.7759999999999996E-2</v>
      </c>
      <c r="AB48" s="61" t="str">
        <f t="shared" si="52"/>
        <v>Muy Baja</v>
      </c>
      <c r="AC48" s="60">
        <f t="shared" si="53"/>
        <v>7.7759999999999996E-2</v>
      </c>
      <c r="AD48" s="61" t="str">
        <f t="shared" si="54"/>
        <v>Catastrófico</v>
      </c>
      <c r="AE48" s="60">
        <f>IFERROR(IF(AND(S47="Impacto",S48="Impacto"),(AE47-(+AE47*V48)),IF(S48="Impacto",(#REF!-(+#REF!*V48)),IF(S48="Probabilidad",AE47,""))),"")</f>
        <v>1</v>
      </c>
      <c r="AF48" s="133" t="str">
        <f t="shared" si="55"/>
        <v>Extremo</v>
      </c>
      <c r="AG48" s="122" t="str">
        <f t="shared" ref="AG48:AG50" si="60">AF48</f>
        <v>Extremo</v>
      </c>
      <c r="AH48" s="134" t="s">
        <v>101</v>
      </c>
      <c r="AI48" s="175" t="s">
        <v>430</v>
      </c>
      <c r="AJ48" s="175" t="s">
        <v>431</v>
      </c>
      <c r="AK48" s="175" t="s">
        <v>432</v>
      </c>
      <c r="AL48" s="175" t="s">
        <v>231</v>
      </c>
      <c r="AM48" s="175" t="s">
        <v>433</v>
      </c>
      <c r="AN48" s="175" t="s">
        <v>38</v>
      </c>
    </row>
    <row r="49" spans="1:40" ht="127.5" x14ac:dyDescent="0.2">
      <c r="A49" s="210" t="s">
        <v>327</v>
      </c>
      <c r="B49" s="138">
        <v>28</v>
      </c>
      <c r="C49" s="202" t="s">
        <v>474</v>
      </c>
      <c r="D49" s="196" t="s">
        <v>364</v>
      </c>
      <c r="E49" s="144" t="s">
        <v>370</v>
      </c>
      <c r="F49" s="144" t="s">
        <v>380</v>
      </c>
      <c r="G49" s="147" t="s">
        <v>95</v>
      </c>
      <c r="H49" s="144" t="s">
        <v>386</v>
      </c>
      <c r="I49" s="149" t="s">
        <v>389</v>
      </c>
      <c r="J49" s="149">
        <v>12</v>
      </c>
      <c r="K49" s="130" t="str">
        <f t="shared" si="58"/>
        <v>Baja</v>
      </c>
      <c r="L49" s="152">
        <f t="shared" si="59"/>
        <v>0.4</v>
      </c>
      <c r="M49" s="138">
        <f>'Tabla Impacto'!BK26</f>
        <v>13</v>
      </c>
      <c r="N49" s="130" t="str">
        <f t="shared" si="5"/>
        <v>Mayor</v>
      </c>
      <c r="O49" s="200">
        <f t="shared" si="17"/>
        <v>0.8</v>
      </c>
      <c r="P49" s="154" t="s">
        <v>65</v>
      </c>
      <c r="Q49" s="138">
        <v>1</v>
      </c>
      <c r="R49" s="159" t="s">
        <v>400</v>
      </c>
      <c r="S49" s="113" t="str">
        <f>'[13]Mapa final'!S19</f>
        <v>Probabilidad</v>
      </c>
      <c r="T49" s="164" t="s">
        <v>12</v>
      </c>
      <c r="U49" s="164" t="s">
        <v>7</v>
      </c>
      <c r="V49" s="170"/>
      <c r="W49" s="164" t="s">
        <v>17</v>
      </c>
      <c r="X49" s="164" t="s">
        <v>20</v>
      </c>
      <c r="Y49" s="171" t="s">
        <v>86</v>
      </c>
      <c r="Z49" s="174" t="s">
        <v>410</v>
      </c>
      <c r="AA49" s="114">
        <f t="shared" si="47"/>
        <v>7.7759999999999996E-2</v>
      </c>
      <c r="AB49" s="61" t="str">
        <f t="shared" si="52"/>
        <v>Muy Baja</v>
      </c>
      <c r="AC49" s="60">
        <f t="shared" si="53"/>
        <v>7.7759999999999996E-2</v>
      </c>
      <c r="AD49" s="61" t="str">
        <f t="shared" si="54"/>
        <v>Catastrófico</v>
      </c>
      <c r="AE49" s="60">
        <f>IFERROR(IF(AND(S48="Impacto",S49="Impacto"),(AE48-(+AE48*V49)),IF(S49="Impacto",(#REF!-(+#REF!*V49)),IF(S49="Probabilidad",AE48,""))),"")</f>
        <v>1</v>
      </c>
      <c r="AF49" s="133" t="str">
        <f t="shared" si="55"/>
        <v>Extremo</v>
      </c>
      <c r="AG49" s="122" t="str">
        <f t="shared" si="60"/>
        <v>Extremo</v>
      </c>
      <c r="AH49" s="134" t="s">
        <v>30</v>
      </c>
      <c r="AI49" s="175" t="s">
        <v>238</v>
      </c>
      <c r="AJ49" s="175" t="s">
        <v>238</v>
      </c>
      <c r="AK49" s="175" t="s">
        <v>238</v>
      </c>
      <c r="AL49" s="175" t="s">
        <v>238</v>
      </c>
      <c r="AM49" s="175" t="s">
        <v>238</v>
      </c>
      <c r="AN49" s="175" t="s">
        <v>238</v>
      </c>
    </row>
    <row r="50" spans="1:40" ht="191.25" x14ac:dyDescent="0.2">
      <c r="A50" s="214" t="s">
        <v>241</v>
      </c>
      <c r="B50" s="138">
        <v>29</v>
      </c>
      <c r="C50" s="202" t="s">
        <v>474</v>
      </c>
      <c r="D50" s="145" t="s">
        <v>364</v>
      </c>
      <c r="E50" s="145" t="s">
        <v>371</v>
      </c>
      <c r="F50" s="145" t="s">
        <v>381</v>
      </c>
      <c r="G50" s="129" t="s">
        <v>95</v>
      </c>
      <c r="H50" s="145" t="s">
        <v>357</v>
      </c>
      <c r="I50" s="148" t="s">
        <v>389</v>
      </c>
      <c r="J50" s="148">
        <v>20</v>
      </c>
      <c r="K50" s="130" t="str">
        <f t="shared" si="58"/>
        <v>Baja</v>
      </c>
      <c r="L50" s="152">
        <f t="shared" si="59"/>
        <v>0.4</v>
      </c>
      <c r="M50" s="138">
        <f>+'Tabla Impacto'!BM26</f>
        <v>12</v>
      </c>
      <c r="N50" s="130" t="str">
        <f t="shared" si="5"/>
        <v>Mayor</v>
      </c>
      <c r="O50" s="131">
        <f t="shared" si="17"/>
        <v>0.8</v>
      </c>
      <c r="P50" s="132" t="s">
        <v>65</v>
      </c>
      <c r="Q50" s="138">
        <v>1</v>
      </c>
      <c r="R50" s="145" t="s">
        <v>401</v>
      </c>
      <c r="S50" s="113" t="str">
        <f>'[13]Mapa final'!S20</f>
        <v>Probabilidad</v>
      </c>
      <c r="T50" s="163" t="s">
        <v>12</v>
      </c>
      <c r="U50" s="163" t="s">
        <v>7</v>
      </c>
      <c r="V50" s="148"/>
      <c r="W50" s="163" t="s">
        <v>18</v>
      </c>
      <c r="X50" s="163" t="s">
        <v>20</v>
      </c>
      <c r="Y50" s="163" t="s">
        <v>86</v>
      </c>
      <c r="Z50" s="145" t="s">
        <v>411</v>
      </c>
      <c r="AA50" s="114">
        <f t="shared" si="47"/>
        <v>7.7759999999999996E-2</v>
      </c>
      <c r="AB50" s="61" t="str">
        <f t="shared" si="52"/>
        <v>Muy Baja</v>
      </c>
      <c r="AC50" s="60">
        <f t="shared" si="53"/>
        <v>7.7759999999999996E-2</v>
      </c>
      <c r="AD50" s="61" t="str">
        <f t="shared" si="54"/>
        <v>Catastrófico</v>
      </c>
      <c r="AE50" s="60">
        <f>IFERROR(IF(AND(S49="Impacto",S50="Impacto"),(AE49-(+AE49*V50)),IF(S50="Impacto",(#REF!-(+#REF!*V50)),IF(S50="Probabilidad",AE49,""))),"")</f>
        <v>1</v>
      </c>
      <c r="AF50" s="133" t="str">
        <f t="shared" si="55"/>
        <v>Extremo</v>
      </c>
      <c r="AG50" s="133" t="str">
        <f t="shared" si="60"/>
        <v>Extremo</v>
      </c>
      <c r="AH50" s="134" t="s">
        <v>101</v>
      </c>
      <c r="AI50" s="145" t="s">
        <v>434</v>
      </c>
      <c r="AJ50" s="145" t="s">
        <v>435</v>
      </c>
      <c r="AK50" s="145" t="s">
        <v>436</v>
      </c>
      <c r="AL50" s="145" t="s">
        <v>231</v>
      </c>
      <c r="AM50" s="145" t="s">
        <v>415</v>
      </c>
      <c r="AN50" s="145" t="s">
        <v>38</v>
      </c>
    </row>
  </sheetData>
  <autoFilter ref="A8:BT50" xr:uid="{00000000-0009-0000-0000-000002000000}">
    <filterColumn colId="0">
      <customFilters>
        <customFilter operator="notEqual" val=" "/>
      </customFilters>
    </filterColumn>
  </autoFilter>
  <dataConsolidate/>
  <mergeCells count="290">
    <mergeCell ref="C12:C14"/>
    <mergeCell ref="C15:C16"/>
    <mergeCell ref="C22:C23"/>
    <mergeCell ref="C25:C26"/>
    <mergeCell ref="C27:C29"/>
    <mergeCell ref="C30:C31"/>
    <mergeCell ref="C33:C34"/>
    <mergeCell ref="C35:C36"/>
    <mergeCell ref="C38:C39"/>
    <mergeCell ref="AG42:AG43"/>
    <mergeCell ref="AN40:AN41"/>
    <mergeCell ref="P40:P41"/>
    <mergeCell ref="AG40:AG41"/>
    <mergeCell ref="AH40:AH41"/>
    <mergeCell ref="AM38:AM39"/>
    <mergeCell ref="D38:D39"/>
    <mergeCell ref="E38:E39"/>
    <mergeCell ref="AL40:AL41"/>
    <mergeCell ref="J38:J39"/>
    <mergeCell ref="AM40:AM41"/>
    <mergeCell ref="O38:O39"/>
    <mergeCell ref="O40:O41"/>
    <mergeCell ref="G40:G41"/>
    <mergeCell ref="H40:H41"/>
    <mergeCell ref="I40:I41"/>
    <mergeCell ref="J40:J41"/>
    <mergeCell ref="K40:K41"/>
    <mergeCell ref="L40:L41"/>
    <mergeCell ref="M40:M41"/>
    <mergeCell ref="N40:N41"/>
    <mergeCell ref="G38:G39"/>
    <mergeCell ref="A40:A41"/>
    <mergeCell ref="AI40:AI41"/>
    <mergeCell ref="AG38:AG39"/>
    <mergeCell ref="AH38:AH39"/>
    <mergeCell ref="AI38:AI39"/>
    <mergeCell ref="AJ38:AJ39"/>
    <mergeCell ref="AK38:AK39"/>
    <mergeCell ref="P38:P39"/>
    <mergeCell ref="K38:K39"/>
    <mergeCell ref="L38:L39"/>
    <mergeCell ref="I38:I39"/>
    <mergeCell ref="M38:M39"/>
    <mergeCell ref="N38:N39"/>
    <mergeCell ref="AJ40:AJ41"/>
    <mergeCell ref="AK40:AK41"/>
    <mergeCell ref="H38:H39"/>
    <mergeCell ref="C7:C8"/>
    <mergeCell ref="C40:C41"/>
    <mergeCell ref="D40:D41"/>
    <mergeCell ref="E40:E41"/>
    <mergeCell ref="F40:F41"/>
    <mergeCell ref="B40:B41"/>
    <mergeCell ref="A15:A16"/>
    <mergeCell ref="A33:A34"/>
    <mergeCell ref="F38:F39"/>
    <mergeCell ref="A25:A26"/>
    <mergeCell ref="D25:D26"/>
    <mergeCell ref="E25:E26"/>
    <mergeCell ref="F25:F26"/>
    <mergeCell ref="A22:A23"/>
    <mergeCell ref="A7:A8"/>
    <mergeCell ref="A9:A10"/>
    <mergeCell ref="B12:B14"/>
    <mergeCell ref="E15:E16"/>
    <mergeCell ref="F15:F16"/>
    <mergeCell ref="A30:A31"/>
    <mergeCell ref="D30:D31"/>
    <mergeCell ref="E30:E31"/>
    <mergeCell ref="F30:F31"/>
    <mergeCell ref="A12:A14"/>
    <mergeCell ref="A2:D5"/>
    <mergeCell ref="AK2:AN4"/>
    <mergeCell ref="AK5:AN5"/>
    <mergeCell ref="E2:AJ3"/>
    <mergeCell ref="E4:AJ5"/>
    <mergeCell ref="AN38:AN39"/>
    <mergeCell ref="A38:A39"/>
    <mergeCell ref="AN33:AN34"/>
    <mergeCell ref="B22:B23"/>
    <mergeCell ref="B25:B26"/>
    <mergeCell ref="B27:B29"/>
    <mergeCell ref="B30:B31"/>
    <mergeCell ref="B35:B36"/>
    <mergeCell ref="B38:B39"/>
    <mergeCell ref="I15:I16"/>
    <mergeCell ref="I22:I23"/>
    <mergeCell ref="I25:I26"/>
    <mergeCell ref="I27:I29"/>
    <mergeCell ref="AL38:AL39"/>
    <mergeCell ref="AN35:AN36"/>
    <mergeCell ref="N35:N36"/>
    <mergeCell ref="P35:P36"/>
    <mergeCell ref="A35:A36"/>
    <mergeCell ref="M35:M36"/>
    <mergeCell ref="D35:D36"/>
    <mergeCell ref="E35:E36"/>
    <mergeCell ref="F35:F36"/>
    <mergeCell ref="G35:G36"/>
    <mergeCell ref="H35:H36"/>
    <mergeCell ref="J35:J36"/>
    <mergeCell ref="K35:K36"/>
    <mergeCell ref="L35:L36"/>
    <mergeCell ref="I35:I36"/>
    <mergeCell ref="AM35:AM36"/>
    <mergeCell ref="M30:M31"/>
    <mergeCell ref="N30:N31"/>
    <mergeCell ref="P30:P31"/>
    <mergeCell ref="AG30:AG31"/>
    <mergeCell ref="AH30:AH31"/>
    <mergeCell ref="AG33:AG34"/>
    <mergeCell ref="AH33:AH34"/>
    <mergeCell ref="AI33:AI34"/>
    <mergeCell ref="AJ33:AJ34"/>
    <mergeCell ref="AK33:AK34"/>
    <mergeCell ref="AL33:AL34"/>
    <mergeCell ref="AM33:AM34"/>
    <mergeCell ref="M33:M34"/>
    <mergeCell ref="N33:N34"/>
    <mergeCell ref="P33:P34"/>
    <mergeCell ref="AG35:AG36"/>
    <mergeCell ref="AH35:AH36"/>
    <mergeCell ref="AI35:AI36"/>
    <mergeCell ref="O33:O34"/>
    <mergeCell ref="O35:O36"/>
    <mergeCell ref="K30:K31"/>
    <mergeCell ref="L30:L31"/>
    <mergeCell ref="I30:I31"/>
    <mergeCell ref="K27:K29"/>
    <mergeCell ref="L27:L29"/>
    <mergeCell ref="M27:M29"/>
    <mergeCell ref="AJ35:AJ36"/>
    <mergeCell ref="AK35:AK36"/>
    <mergeCell ref="AL35:AL36"/>
    <mergeCell ref="J33:J34"/>
    <mergeCell ref="K33:K34"/>
    <mergeCell ref="L33:L34"/>
    <mergeCell ref="I33:I34"/>
    <mergeCell ref="N27:N29"/>
    <mergeCell ref="AM28:AM29"/>
    <mergeCell ref="AN28:AN29"/>
    <mergeCell ref="A27:A29"/>
    <mergeCell ref="P27:P29"/>
    <mergeCell ref="D27:D29"/>
    <mergeCell ref="E27:E29"/>
    <mergeCell ref="AG27:AG29"/>
    <mergeCell ref="AH27:AH29"/>
    <mergeCell ref="AI28:AI29"/>
    <mergeCell ref="AJ28:AJ29"/>
    <mergeCell ref="AK28:AK29"/>
    <mergeCell ref="AL28:AL29"/>
    <mergeCell ref="F27:F29"/>
    <mergeCell ref="G27:G29"/>
    <mergeCell ref="H27:H29"/>
    <mergeCell ref="AH22:AH23"/>
    <mergeCell ref="AI22:AI23"/>
    <mergeCell ref="AJ22:AJ23"/>
    <mergeCell ref="AK22:AK23"/>
    <mergeCell ref="G25:G26"/>
    <mergeCell ref="H25:H26"/>
    <mergeCell ref="J25:J26"/>
    <mergeCell ref="K25:K26"/>
    <mergeCell ref="AL22:AL23"/>
    <mergeCell ref="AG25:AG26"/>
    <mergeCell ref="AH25:AH26"/>
    <mergeCell ref="AI25:AI26"/>
    <mergeCell ref="AJ25:AJ26"/>
    <mergeCell ref="AK25:AK26"/>
    <mergeCell ref="AL25:AL26"/>
    <mergeCell ref="L25:L26"/>
    <mergeCell ref="M25:M26"/>
    <mergeCell ref="N25:N26"/>
    <mergeCell ref="P25:P26"/>
    <mergeCell ref="AH15:AH16"/>
    <mergeCell ref="AI15:AI16"/>
    <mergeCell ref="AJ15:AJ16"/>
    <mergeCell ref="AK15:AK16"/>
    <mergeCell ref="AL15:AL16"/>
    <mergeCell ref="AM15:AM16"/>
    <mergeCell ref="AN15:AN16"/>
    <mergeCell ref="D15:D16"/>
    <mergeCell ref="AM25:AM26"/>
    <mergeCell ref="AN25:AN26"/>
    <mergeCell ref="AM22:AM23"/>
    <mergeCell ref="AN22:AN23"/>
    <mergeCell ref="D22:D23"/>
    <mergeCell ref="E22:E23"/>
    <mergeCell ref="F22:F23"/>
    <mergeCell ref="G22:G23"/>
    <mergeCell ref="H22:H23"/>
    <mergeCell ref="J22:J23"/>
    <mergeCell ref="K22:K23"/>
    <mergeCell ref="L22:L23"/>
    <mergeCell ref="M22:M23"/>
    <mergeCell ref="N22:N23"/>
    <mergeCell ref="P22:P23"/>
    <mergeCell ref="AG22:AG23"/>
    <mergeCell ref="P15:P16"/>
    <mergeCell ref="O15:O16"/>
    <mergeCell ref="J15:J16"/>
    <mergeCell ref="K15:K16"/>
    <mergeCell ref="L15:L16"/>
    <mergeCell ref="M15:M16"/>
    <mergeCell ref="N15:N16"/>
    <mergeCell ref="AG12:AG14"/>
    <mergeCell ref="AG15:AG16"/>
    <mergeCell ref="H7:H8"/>
    <mergeCell ref="AJ7:AJ8"/>
    <mergeCell ref="AH7:AH8"/>
    <mergeCell ref="Q7:Q8"/>
    <mergeCell ref="AE7:AE8"/>
    <mergeCell ref="AA7:AA8"/>
    <mergeCell ref="H12:H14"/>
    <mergeCell ref="K9:K10"/>
    <mergeCell ref="L9:L10"/>
    <mergeCell ref="AI7:AI8"/>
    <mergeCell ref="J7:J8"/>
    <mergeCell ref="K7:K8"/>
    <mergeCell ref="L7:L8"/>
    <mergeCell ref="M12:M14"/>
    <mergeCell ref="N12:N14"/>
    <mergeCell ref="M9:M10"/>
    <mergeCell ref="AI6:AN6"/>
    <mergeCell ref="P12:P14"/>
    <mergeCell ref="A6:J6"/>
    <mergeCell ref="K6:P6"/>
    <mergeCell ref="AA6:AH6"/>
    <mergeCell ref="G12:G14"/>
    <mergeCell ref="J12:J14"/>
    <mergeCell ref="K12:K14"/>
    <mergeCell ref="L12:L14"/>
    <mergeCell ref="R7:R8"/>
    <mergeCell ref="P9:P10"/>
    <mergeCell ref="O9:O10"/>
    <mergeCell ref="B9:B10"/>
    <mergeCell ref="D9:D10"/>
    <mergeCell ref="B7:B8"/>
    <mergeCell ref="G7:G8"/>
    <mergeCell ref="F7:F8"/>
    <mergeCell ref="E7:E8"/>
    <mergeCell ref="D7:D8"/>
    <mergeCell ref="AF7:AF8"/>
    <mergeCell ref="N9:N10"/>
    <mergeCell ref="Q6:Z6"/>
    <mergeCell ref="T7:Z7"/>
    <mergeCell ref="S7:S8"/>
    <mergeCell ref="E9:E10"/>
    <mergeCell ref="F9:F10"/>
    <mergeCell ref="G9:G10"/>
    <mergeCell ref="H9:H10"/>
    <mergeCell ref="H15:H16"/>
    <mergeCell ref="B15:B16"/>
    <mergeCell ref="B33:B34"/>
    <mergeCell ref="J9:J10"/>
    <mergeCell ref="I9:I10"/>
    <mergeCell ref="I12:I14"/>
    <mergeCell ref="E12:E14"/>
    <mergeCell ref="F12:F14"/>
    <mergeCell ref="J27:J29"/>
    <mergeCell ref="C9:C10"/>
    <mergeCell ref="G15:G16"/>
    <mergeCell ref="D12:D14"/>
    <mergeCell ref="G30:G31"/>
    <mergeCell ref="H30:H31"/>
    <mergeCell ref="J30:J31"/>
    <mergeCell ref="D33:D34"/>
    <mergeCell ref="E33:E34"/>
    <mergeCell ref="F33:F34"/>
    <mergeCell ref="G33:G34"/>
    <mergeCell ref="H33:H34"/>
    <mergeCell ref="AL12:AL14"/>
    <mergeCell ref="AG9:AG10"/>
    <mergeCell ref="P7:P8"/>
    <mergeCell ref="M7:M8"/>
    <mergeCell ref="N7:N8"/>
    <mergeCell ref="AM12:AM14"/>
    <mergeCell ref="AN12:AN14"/>
    <mergeCell ref="AN7:AN8"/>
    <mergeCell ref="AM7:AM8"/>
    <mergeCell ref="AL7:AL8"/>
    <mergeCell ref="O7:O8"/>
    <mergeCell ref="AK7:AK8"/>
    <mergeCell ref="AG7:AG8"/>
    <mergeCell ref="AD7:AD8"/>
    <mergeCell ref="AB7:AB8"/>
    <mergeCell ref="AC7:AC8"/>
    <mergeCell ref="AH12:AH14"/>
    <mergeCell ref="AI12:AI14"/>
    <mergeCell ref="AJ12:AJ14"/>
    <mergeCell ref="AK12:AK14"/>
  </mergeCells>
  <conditionalFormatting sqref="K9">
    <cfRule type="cellIs" dxfId="200" priority="1901" operator="equal">
      <formula>"Muy Alta"</formula>
    </cfRule>
    <cfRule type="cellIs" dxfId="199" priority="1905" operator="equal">
      <formula>"Muy Baja"</formula>
    </cfRule>
    <cfRule type="cellIs" dxfId="198" priority="1902" operator="equal">
      <formula>"Alta"</formula>
    </cfRule>
    <cfRule type="cellIs" dxfId="197" priority="1903" operator="equal">
      <formula>"Media"</formula>
    </cfRule>
    <cfRule type="cellIs" dxfId="196" priority="1904" operator="equal">
      <formula>"Baja"</formula>
    </cfRule>
  </conditionalFormatting>
  <conditionalFormatting sqref="K11:K12">
    <cfRule type="cellIs" dxfId="195" priority="1521" operator="equal">
      <formula>"Muy Baja"</formula>
    </cfRule>
    <cfRule type="cellIs" dxfId="194" priority="1520" operator="equal">
      <formula>"Baja"</formula>
    </cfRule>
    <cfRule type="cellIs" dxfId="193" priority="1519" operator="equal">
      <formula>"Media"</formula>
    </cfRule>
    <cfRule type="cellIs" dxfId="192" priority="1518" operator="equal">
      <formula>"Alta"</formula>
    </cfRule>
    <cfRule type="cellIs" dxfId="191" priority="1517" operator="equal">
      <formula>"Muy Alta"</formula>
    </cfRule>
  </conditionalFormatting>
  <conditionalFormatting sqref="K15">
    <cfRule type="cellIs" dxfId="190" priority="1461" operator="equal">
      <formula>"Muy Baja"</formula>
    </cfRule>
    <cfRule type="cellIs" dxfId="189" priority="1460" operator="equal">
      <formula>"Baja"</formula>
    </cfRule>
    <cfRule type="cellIs" dxfId="188" priority="1459" operator="equal">
      <formula>"Media"</formula>
    </cfRule>
    <cfRule type="cellIs" dxfId="187" priority="1457" operator="equal">
      <formula>"Muy Alta"</formula>
    </cfRule>
    <cfRule type="cellIs" dxfId="186" priority="1458" operator="equal">
      <formula>"Alta"</formula>
    </cfRule>
  </conditionalFormatting>
  <conditionalFormatting sqref="K17:K22">
    <cfRule type="cellIs" dxfId="185" priority="1089" operator="equal">
      <formula>"Muy Baja"</formula>
    </cfRule>
    <cfRule type="cellIs" dxfId="184" priority="1088" operator="equal">
      <formula>"Baja"</formula>
    </cfRule>
    <cfRule type="cellIs" dxfId="183" priority="1087" operator="equal">
      <formula>"Media"</formula>
    </cfRule>
    <cfRule type="cellIs" dxfId="182" priority="1086" operator="equal">
      <formula>"Alta"</formula>
    </cfRule>
    <cfRule type="cellIs" dxfId="181" priority="1085" operator="equal">
      <formula>"Muy Alta"</formula>
    </cfRule>
  </conditionalFormatting>
  <conditionalFormatting sqref="K24:K25">
    <cfRule type="cellIs" dxfId="180" priority="877" operator="equal">
      <formula>"Muy Baja"</formula>
    </cfRule>
    <cfRule type="cellIs" dxfId="179" priority="876" operator="equal">
      <formula>"Baja"</formula>
    </cfRule>
    <cfRule type="cellIs" dxfId="178" priority="875" operator="equal">
      <formula>"Media"</formula>
    </cfRule>
    <cfRule type="cellIs" dxfId="177" priority="874" operator="equal">
      <formula>"Alta"</formula>
    </cfRule>
    <cfRule type="cellIs" dxfId="176" priority="873" operator="equal">
      <formula>"Muy Alta"</formula>
    </cfRule>
  </conditionalFormatting>
  <conditionalFormatting sqref="K27">
    <cfRule type="cellIs" dxfId="175" priority="811" operator="equal">
      <formula>"Muy Baja"</formula>
    </cfRule>
    <cfRule type="cellIs" dxfId="174" priority="807" operator="equal">
      <formula>"Muy Alta"</formula>
    </cfRule>
    <cfRule type="cellIs" dxfId="173" priority="808" operator="equal">
      <formula>"Alta"</formula>
    </cfRule>
    <cfRule type="cellIs" dxfId="172" priority="809" operator="equal">
      <formula>"Media"</formula>
    </cfRule>
    <cfRule type="cellIs" dxfId="171" priority="810" operator="equal">
      <formula>"Baja"</formula>
    </cfRule>
  </conditionalFormatting>
  <conditionalFormatting sqref="K30">
    <cfRule type="cellIs" dxfId="170" priority="747" operator="equal">
      <formula>"Muy Baja"</formula>
    </cfRule>
    <cfRule type="cellIs" dxfId="169" priority="746" operator="equal">
      <formula>"Baja"</formula>
    </cfRule>
    <cfRule type="cellIs" dxfId="168" priority="745" operator="equal">
      <formula>"Media"</formula>
    </cfRule>
    <cfRule type="cellIs" dxfId="167" priority="744" operator="equal">
      <formula>"Alta"</formula>
    </cfRule>
    <cfRule type="cellIs" dxfId="166" priority="743" operator="equal">
      <formula>"Muy Alta"</formula>
    </cfRule>
  </conditionalFormatting>
  <conditionalFormatting sqref="K32:K33">
    <cfRule type="cellIs" dxfId="165" priority="609" operator="equal">
      <formula>"Muy Baja"</formula>
    </cfRule>
    <cfRule type="cellIs" dxfId="164" priority="607" operator="equal">
      <formula>"Media"</formula>
    </cfRule>
    <cfRule type="cellIs" dxfId="163" priority="606" operator="equal">
      <formula>"Alta"</formula>
    </cfRule>
    <cfRule type="cellIs" dxfId="162" priority="605" operator="equal">
      <formula>"Muy Alta"</formula>
    </cfRule>
    <cfRule type="cellIs" dxfId="161" priority="608" operator="equal">
      <formula>"Baja"</formula>
    </cfRule>
  </conditionalFormatting>
  <conditionalFormatting sqref="K35">
    <cfRule type="cellIs" dxfId="160" priority="493" operator="equal">
      <formula>"Muy Baja"</formula>
    </cfRule>
    <cfRule type="cellIs" dxfId="159" priority="492" operator="equal">
      <formula>"Baja"</formula>
    </cfRule>
    <cfRule type="cellIs" dxfId="158" priority="490" operator="equal">
      <formula>"Alta"</formula>
    </cfRule>
    <cfRule type="cellIs" dxfId="157" priority="489" operator="equal">
      <formula>"Muy Alta"</formula>
    </cfRule>
    <cfRule type="cellIs" dxfId="156" priority="491" operator="equal">
      <formula>"Media"</formula>
    </cfRule>
  </conditionalFormatting>
  <conditionalFormatting sqref="K37:K38">
    <cfRule type="cellIs" dxfId="155" priority="325" operator="equal">
      <formula>"Alta"</formula>
    </cfRule>
    <cfRule type="cellIs" dxfId="154" priority="326" operator="equal">
      <formula>"Media"</formula>
    </cfRule>
    <cfRule type="cellIs" dxfId="153" priority="327" operator="equal">
      <formula>"Baja"</formula>
    </cfRule>
    <cfRule type="cellIs" dxfId="152" priority="328" operator="equal">
      <formula>"Muy Baja"</formula>
    </cfRule>
    <cfRule type="cellIs" dxfId="151" priority="324" operator="equal">
      <formula>"Muy Alta"</formula>
    </cfRule>
  </conditionalFormatting>
  <conditionalFormatting sqref="K40">
    <cfRule type="cellIs" dxfId="150" priority="237" operator="equal">
      <formula>"Muy Alta"</formula>
    </cfRule>
    <cfRule type="cellIs" dxfId="149" priority="238" operator="equal">
      <formula>"Alta"</formula>
    </cfRule>
    <cfRule type="cellIs" dxfId="148" priority="239" operator="equal">
      <formula>"Media"</formula>
    </cfRule>
    <cfRule type="cellIs" dxfId="147" priority="240" operator="equal">
      <formula>"Baja"</formula>
    </cfRule>
    <cfRule type="cellIs" dxfId="146" priority="241" operator="equal">
      <formula>"Muy Baja"</formula>
    </cfRule>
  </conditionalFormatting>
  <conditionalFormatting sqref="K42:K50">
    <cfRule type="cellIs" dxfId="145" priority="209" operator="equal">
      <formula>"Media"</formula>
    </cfRule>
    <cfRule type="cellIs" dxfId="144" priority="207" operator="equal">
      <formula>"Muy Alta"</formula>
    </cfRule>
    <cfRule type="cellIs" dxfId="143" priority="208" operator="equal">
      <formula>"Alta"</formula>
    </cfRule>
    <cfRule type="cellIs" dxfId="142" priority="210" operator="equal">
      <formula>"Baja"</formula>
    </cfRule>
    <cfRule type="cellIs" dxfId="141" priority="211" operator="equal">
      <formula>"Muy Baja"</formula>
    </cfRule>
  </conditionalFormatting>
  <conditionalFormatting sqref="M46:M48">
    <cfRule type="containsText" dxfId="140" priority="204" operator="containsText" text="CATASTRÓFICO">
      <formula>NOT(ISERROR(SEARCH("CATASTRÓFICO",M46)))</formula>
    </cfRule>
    <cfRule type="containsText" dxfId="139" priority="206" operator="containsText" text="MAYOR">
      <formula>NOT(ISERROR(SEARCH("MAYOR",M46)))</formula>
    </cfRule>
    <cfRule type="containsText" dxfId="138" priority="205" operator="containsText" text="MODERADO">
      <formula>NOT(ISERROR(SEARCH("MODERADO",M46)))</formula>
    </cfRule>
  </conditionalFormatting>
  <conditionalFormatting sqref="N9">
    <cfRule type="containsText" dxfId="137" priority="83" operator="containsText" text="MAYOR">
      <formula>NOT(ISERROR(SEARCH("MAYOR",N9)))</formula>
    </cfRule>
    <cfRule type="containsText" dxfId="136" priority="82" operator="containsText" text="MODERADO">
      <formula>NOT(ISERROR(SEARCH("MODERADO",N9)))</formula>
    </cfRule>
    <cfRule type="containsText" dxfId="135" priority="81" operator="containsText" text="CATASTRÓFICO">
      <formula>NOT(ISERROR(SEARCH("CATASTRÓFICO",N9)))</formula>
    </cfRule>
  </conditionalFormatting>
  <conditionalFormatting sqref="N11:N12 N18:N22 N24:N25 N27 N30 N32:N33 N35 N37:N38 N40 N42:N50">
    <cfRule type="containsText" dxfId="134" priority="272" operator="containsText" text="MAYOR">
      <formula>NOT(ISERROR(SEARCH("MAYOR",N11)))</formula>
    </cfRule>
    <cfRule type="containsText" dxfId="133" priority="271" operator="containsText" text="MODERADO">
      <formula>NOT(ISERROR(SEARCH("MODERADO",N11)))</formula>
    </cfRule>
  </conditionalFormatting>
  <conditionalFormatting sqref="N15">
    <cfRule type="containsText" dxfId="132" priority="36" stopIfTrue="1" operator="containsText" text="Catastrófico">
      <formula>NOT(ISERROR(SEARCH("Catastrófico",N15)))</formula>
    </cfRule>
    <cfRule type="containsText" dxfId="131" priority="37" operator="containsText" text="MODERADO">
      <formula>NOT(ISERROR(SEARCH("MODERADO",N15)))</formula>
    </cfRule>
    <cfRule type="containsText" dxfId="130" priority="38" operator="containsText" text="MAYOR">
      <formula>NOT(ISERROR(SEARCH("MAYOR",N15)))</formula>
    </cfRule>
  </conditionalFormatting>
  <conditionalFormatting sqref="N17">
    <cfRule type="containsText" dxfId="129" priority="33" stopIfTrue="1" operator="containsText" text="Catastrófico">
      <formula>NOT(ISERROR(SEARCH("Catastrófico",N17)))</formula>
    </cfRule>
    <cfRule type="containsText" dxfId="128" priority="34" operator="containsText" text="MODERADO">
      <formula>NOT(ISERROR(SEARCH("MODERADO",N17)))</formula>
    </cfRule>
    <cfRule type="containsText" dxfId="127" priority="35" operator="containsText" text="MAYOR">
      <formula>NOT(ISERROR(SEARCH("MAYOR",N17)))</formula>
    </cfRule>
  </conditionalFormatting>
  <conditionalFormatting sqref="N32:N33 N42:N50 N11:N12 N18:N22 N24:N25 N27 N30 N35 N37:N38 N40">
    <cfRule type="containsText" dxfId="126" priority="270" stopIfTrue="1" operator="containsText" text="Catastrofico">
      <formula>NOT(ISERROR(SEARCH("Catastrofico",N11)))</formula>
    </cfRule>
  </conditionalFormatting>
  <conditionalFormatting sqref="N33:N34">
    <cfRule type="containsText" dxfId="125" priority="44" operator="containsText" text="Menor">
      <formula>NOT(ISERROR(SEARCH("Menor",N33)))</formula>
    </cfRule>
  </conditionalFormatting>
  <conditionalFormatting sqref="N46">
    <cfRule type="containsText" dxfId="124" priority="43" operator="containsText" text="Leve">
      <formula>NOT(ISERROR(SEARCH("Leve",N46)))</formula>
    </cfRule>
  </conditionalFormatting>
  <conditionalFormatting sqref="P9 P11:AG12 P24:AG25">
    <cfRule type="cellIs" dxfId="123" priority="1897" operator="equal">
      <formula>"Extremo"</formula>
    </cfRule>
    <cfRule type="cellIs" dxfId="122" priority="1898" operator="equal">
      <formula>"Alto"</formula>
    </cfRule>
    <cfRule type="cellIs" dxfId="121" priority="1899" operator="equal">
      <formula>"Moderado"</formula>
    </cfRule>
    <cfRule type="cellIs" dxfId="120" priority="1900" operator="equal">
      <formula>"Bajo"</formula>
    </cfRule>
  </conditionalFormatting>
  <conditionalFormatting sqref="P15">
    <cfRule type="cellIs" dxfId="119" priority="45" operator="equal">
      <formula>"Extremo"</formula>
    </cfRule>
    <cfRule type="cellIs" dxfId="118" priority="46" operator="equal">
      <formula>"Alto"</formula>
    </cfRule>
    <cfRule type="cellIs" dxfId="117" priority="48" operator="equal">
      <formula>"Bajo"</formula>
    </cfRule>
    <cfRule type="cellIs" dxfId="116" priority="47" operator="equal">
      <formula>"Moderado"</formula>
    </cfRule>
  </conditionalFormatting>
  <conditionalFormatting sqref="P17:P22">
    <cfRule type="cellIs" dxfId="115" priority="963" operator="equal">
      <formula>"Bajo"</formula>
    </cfRule>
    <cfRule type="cellIs" dxfId="114" priority="962" operator="equal">
      <formula>"Moderado"</formula>
    </cfRule>
    <cfRule type="cellIs" dxfId="113" priority="961" operator="equal">
      <formula>"Alto"</formula>
    </cfRule>
    <cfRule type="cellIs" dxfId="112" priority="960" operator="equal">
      <formula>"Extremo"</formula>
    </cfRule>
  </conditionalFormatting>
  <conditionalFormatting sqref="P27">
    <cfRule type="cellIs" dxfId="111" priority="805" operator="equal">
      <formula>"Moderado"</formula>
    </cfRule>
    <cfRule type="cellIs" dxfId="110" priority="804" operator="equal">
      <formula>"Alto"</formula>
    </cfRule>
    <cfRule type="cellIs" dxfId="109" priority="806" operator="equal">
      <formula>"Bajo"</formula>
    </cfRule>
    <cfRule type="cellIs" dxfId="108" priority="803" operator="equal">
      <formula>"Extremo"</formula>
    </cfRule>
  </conditionalFormatting>
  <conditionalFormatting sqref="P30">
    <cfRule type="cellIs" dxfId="107" priority="682" operator="equal">
      <formula>"Moderado"</formula>
    </cfRule>
    <cfRule type="cellIs" dxfId="106" priority="683" operator="equal">
      <formula>"Bajo"</formula>
    </cfRule>
    <cfRule type="cellIs" dxfId="105" priority="681" operator="equal">
      <formula>"Alto"</formula>
    </cfRule>
    <cfRule type="cellIs" dxfId="104" priority="680" operator="equal">
      <formula>"Extremo"</formula>
    </cfRule>
  </conditionalFormatting>
  <conditionalFormatting sqref="P32:P33">
    <cfRule type="cellIs" dxfId="103" priority="545" operator="equal">
      <formula>"Bajo"</formula>
    </cfRule>
    <cfRule type="cellIs" dxfId="102" priority="544" operator="equal">
      <formula>"Moderado"</formula>
    </cfRule>
    <cfRule type="cellIs" dxfId="101" priority="543" operator="equal">
      <formula>"Alto"</formula>
    </cfRule>
    <cfRule type="cellIs" dxfId="100" priority="542" operator="equal">
      <formula>"Extremo"</formula>
    </cfRule>
  </conditionalFormatting>
  <conditionalFormatting sqref="P35">
    <cfRule type="cellIs" dxfId="99" priority="429" operator="equal">
      <formula>"Bajo"</formula>
    </cfRule>
    <cfRule type="cellIs" dxfId="98" priority="428" operator="equal">
      <formula>"Moderado"</formula>
    </cfRule>
    <cfRule type="cellIs" dxfId="97" priority="427" operator="equal">
      <formula>"Alto"</formula>
    </cfRule>
    <cfRule type="cellIs" dxfId="96" priority="426" operator="equal">
      <formula>"Extremo"</formula>
    </cfRule>
  </conditionalFormatting>
  <conditionalFormatting sqref="P37:P38">
    <cfRule type="cellIs" dxfId="95" priority="40" operator="equal">
      <formula>"Alto"</formula>
    </cfRule>
    <cfRule type="cellIs" dxfId="94" priority="39" operator="equal">
      <formula>"Extremo"</formula>
    </cfRule>
    <cfRule type="cellIs" dxfId="93" priority="41" operator="equal">
      <formula>"Moderado"</formula>
    </cfRule>
    <cfRule type="cellIs" dxfId="92" priority="42" operator="equal">
      <formula>"Bajo"</formula>
    </cfRule>
  </conditionalFormatting>
  <conditionalFormatting sqref="P40">
    <cfRule type="cellIs" dxfId="91" priority="192" operator="equal">
      <formula>"Moderado"</formula>
    </cfRule>
    <cfRule type="cellIs" dxfId="90" priority="193" operator="equal">
      <formula>"Bajo"</formula>
    </cfRule>
    <cfRule type="cellIs" dxfId="89" priority="191" operator="equal">
      <formula>"Alto"</formula>
    </cfRule>
    <cfRule type="cellIs" dxfId="88" priority="190" operator="equal">
      <formula>"Extremo"</formula>
    </cfRule>
  </conditionalFormatting>
  <conditionalFormatting sqref="P42:P50">
    <cfRule type="cellIs" dxfId="87" priority="185" operator="equal">
      <formula>"Bajo"</formula>
    </cfRule>
    <cfRule type="cellIs" dxfId="86" priority="184" operator="equal">
      <formula>"Moderado"</formula>
    </cfRule>
    <cfRule type="cellIs" dxfId="85" priority="183" operator="equal">
      <formula>"Alto"</formula>
    </cfRule>
    <cfRule type="cellIs" dxfId="84" priority="182" operator="equal">
      <formula>"Extremo"</formula>
    </cfRule>
  </conditionalFormatting>
  <conditionalFormatting sqref="AB9:AB50">
    <cfRule type="cellIs" dxfId="83" priority="13" operator="equal">
      <formula>"Baja"</formula>
    </cfRule>
    <cfRule type="cellIs" dxfId="82" priority="12" operator="equal">
      <formula>"Media"</formula>
    </cfRule>
    <cfRule type="cellIs" dxfId="81" priority="10" operator="equal">
      <formula>"Muy Alta"</formula>
    </cfRule>
    <cfRule type="cellIs" dxfId="80" priority="11" operator="equal">
      <formula>"Alta"</formula>
    </cfRule>
    <cfRule type="cellIs" dxfId="79" priority="14" operator="equal">
      <formula>"Muy Baja"</formula>
    </cfRule>
  </conditionalFormatting>
  <conditionalFormatting sqref="AD9:AD50">
    <cfRule type="cellIs" dxfId="78" priority="5" operator="equal">
      <formula>"Catastrófico"</formula>
    </cfRule>
    <cfRule type="cellIs" dxfId="77" priority="6" operator="equal">
      <formula>"Mayor"</formula>
    </cfRule>
    <cfRule type="cellIs" dxfId="76" priority="8" operator="equal">
      <formula>"Menor"</formula>
    </cfRule>
    <cfRule type="cellIs" dxfId="75" priority="9" operator="equal">
      <formula>"Leve"</formula>
    </cfRule>
    <cfRule type="cellIs" dxfId="74" priority="7" operator="equal">
      <formula>"Moderado"</formula>
    </cfRule>
  </conditionalFormatting>
  <conditionalFormatting sqref="AF10:AF14">
    <cfRule type="cellIs" dxfId="73" priority="1478" operator="equal">
      <formula>"Bajo"</formula>
    </cfRule>
    <cfRule type="cellIs" dxfId="72" priority="1477" operator="equal">
      <formula>"Moderado"</formula>
    </cfRule>
    <cfRule type="cellIs" dxfId="71" priority="1476" operator="equal">
      <formula>"Alto"</formula>
    </cfRule>
    <cfRule type="cellIs" dxfId="70" priority="1475" operator="equal">
      <formula>"Extremo"</formula>
    </cfRule>
  </conditionalFormatting>
  <conditionalFormatting sqref="AF16">
    <cfRule type="cellIs" dxfId="69" priority="1428" operator="equal">
      <formula>"Bajo"</formula>
    </cfRule>
    <cfRule type="cellIs" dxfId="68" priority="1427" operator="equal">
      <formula>"Moderado"</formula>
    </cfRule>
    <cfRule type="cellIs" dxfId="67" priority="1426" operator="equal">
      <formula>"Alto"</formula>
    </cfRule>
    <cfRule type="cellIs" dxfId="66" priority="1425" operator="equal">
      <formula>"Extremo"</formula>
    </cfRule>
  </conditionalFormatting>
  <conditionalFormatting sqref="AF23:AF26">
    <cfRule type="cellIs" dxfId="65" priority="840" operator="equal">
      <formula>"Moderado"</formula>
    </cfRule>
    <cfRule type="cellIs" dxfId="64" priority="838" operator="equal">
      <formula>"Extremo"</formula>
    </cfRule>
    <cfRule type="cellIs" dxfId="63" priority="839" operator="equal">
      <formula>"Alto"</formula>
    </cfRule>
    <cfRule type="cellIs" dxfId="62" priority="841" operator="equal">
      <formula>"Bajo"</formula>
    </cfRule>
  </conditionalFormatting>
  <conditionalFormatting sqref="AF28:AF29">
    <cfRule type="cellIs" dxfId="61" priority="775" operator="equal">
      <formula>"Extremo"</formula>
    </cfRule>
    <cfRule type="cellIs" dxfId="60" priority="776" operator="equal">
      <formula>"Alto"</formula>
    </cfRule>
    <cfRule type="cellIs" dxfId="59" priority="777" operator="equal">
      <formula>"Moderado"</formula>
    </cfRule>
    <cfRule type="cellIs" dxfId="58" priority="778" operator="equal">
      <formula>"Bajo"</formula>
    </cfRule>
  </conditionalFormatting>
  <conditionalFormatting sqref="AF31:AF34">
    <cfRule type="cellIs" dxfId="57" priority="561" operator="equal">
      <formula>"Moderado"</formula>
    </cfRule>
    <cfRule type="cellIs" dxfId="56" priority="560" operator="equal">
      <formula>"Alto"</formula>
    </cfRule>
    <cfRule type="cellIs" dxfId="55" priority="559" operator="equal">
      <formula>"Extremo"</formula>
    </cfRule>
    <cfRule type="cellIs" dxfId="54" priority="562" operator="equal">
      <formula>"Bajo"</formula>
    </cfRule>
  </conditionalFormatting>
  <conditionalFormatting sqref="AF36:AF37">
    <cfRule type="cellIs" dxfId="53" priority="352" operator="equal">
      <formula>"Extremo"</formula>
    </cfRule>
    <cfRule type="cellIs" dxfId="52" priority="353" operator="equal">
      <formula>"Alto"</formula>
    </cfRule>
    <cfRule type="cellIs" dxfId="51" priority="355" operator="equal">
      <formula>"Bajo"</formula>
    </cfRule>
    <cfRule type="cellIs" dxfId="50" priority="354" operator="equal">
      <formula>"Moderado"</formula>
    </cfRule>
  </conditionalFormatting>
  <conditionalFormatting sqref="AF39:AF50">
    <cfRule type="cellIs" dxfId="49" priority="18" operator="equal">
      <formula>"Bajo"</formula>
    </cfRule>
    <cfRule type="cellIs" dxfId="48" priority="17" operator="equal">
      <formula>"Moderado"</formula>
    </cfRule>
    <cfRule type="cellIs" dxfId="47" priority="16" operator="equal">
      <formula>"Alto"</formula>
    </cfRule>
    <cfRule type="cellIs" dxfId="46" priority="15" operator="equal">
      <formula>"Extremo"</formula>
    </cfRule>
  </conditionalFormatting>
  <conditionalFormatting sqref="AF9:AG9">
    <cfRule type="cellIs" dxfId="45" priority="1813" operator="equal">
      <formula>"Alto"</formula>
    </cfRule>
    <cfRule type="cellIs" dxfId="44" priority="1812" operator="equal">
      <formula>"Extremo"</formula>
    </cfRule>
    <cfRule type="cellIs" dxfId="43" priority="1814" operator="equal">
      <formula>"Moderado"</formula>
    </cfRule>
    <cfRule type="cellIs" dxfId="42" priority="1815" operator="equal">
      <formula>"Bajo"</formula>
    </cfRule>
  </conditionalFormatting>
  <conditionalFormatting sqref="AF15:AG15">
    <cfRule type="cellIs" dxfId="41" priority="1414" operator="equal">
      <formula>"Bajo"</formula>
    </cfRule>
    <cfRule type="cellIs" dxfId="40" priority="1411" operator="equal">
      <formula>"Extremo"</formula>
    </cfRule>
    <cfRule type="cellIs" dxfId="39" priority="1412" operator="equal">
      <formula>"Alto"</formula>
    </cfRule>
    <cfRule type="cellIs" dxfId="38" priority="1413" operator="equal">
      <formula>"Moderado"</formula>
    </cfRule>
  </conditionalFormatting>
  <conditionalFormatting sqref="AF17:AG38">
    <cfRule type="cellIs" dxfId="37" priority="255" operator="equal">
      <formula>"Alto"</formula>
    </cfRule>
    <cfRule type="cellIs" dxfId="36" priority="254" operator="equal">
      <formula>"Extremo"</formula>
    </cfRule>
    <cfRule type="cellIs" dxfId="35" priority="257" operator="equal">
      <formula>"Bajo"</formula>
    </cfRule>
    <cfRule type="cellIs" dxfId="34" priority="256" operator="equal">
      <formula>"Moderado"</formula>
    </cfRule>
  </conditionalFormatting>
  <conditionalFormatting sqref="AG32">
    <cfRule type="cellIs" dxfId="33" priority="249" operator="equal">
      <formula>"Bajo"</formula>
    </cfRule>
    <cfRule type="cellIs" dxfId="32" priority="248" operator="equal">
      <formula>"Moderado"</formula>
    </cfRule>
    <cfRule type="cellIs" dxfId="31" priority="247" operator="equal">
      <formula>"Alto"</formula>
    </cfRule>
    <cfRule type="cellIs" dxfId="30" priority="246" operator="equal">
      <formula>"Extremo"</formula>
    </cfRule>
  </conditionalFormatting>
  <conditionalFormatting sqref="AG37">
    <cfRule type="cellIs" dxfId="29" priority="242" operator="equal">
      <formula>"Extremo"</formula>
    </cfRule>
    <cfRule type="cellIs" dxfId="28" priority="243" operator="equal">
      <formula>"Alto"</formula>
    </cfRule>
    <cfRule type="cellIs" dxfId="27" priority="244" operator="equal">
      <formula>"Moderado"</formula>
    </cfRule>
    <cfRule type="cellIs" dxfId="26" priority="245" operator="equal">
      <formula>"Bajo"</formula>
    </cfRule>
  </conditionalFormatting>
  <conditionalFormatting sqref="AG40">
    <cfRule type="cellIs" dxfId="25" priority="118" operator="equal">
      <formula>"Extremo"</formula>
    </cfRule>
    <cfRule type="cellIs" dxfId="24" priority="119" operator="equal">
      <formula>"Alto"</formula>
    </cfRule>
    <cfRule type="cellIs" dxfId="23" priority="121" operator="equal">
      <formula>"Bajo"</formula>
    </cfRule>
    <cfRule type="cellIs" dxfId="22" priority="120" operator="equal">
      <formula>"Moderado"</formula>
    </cfRule>
  </conditionalFormatting>
  <conditionalFormatting sqref="AG42">
    <cfRule type="cellIs" dxfId="21" priority="117" operator="equal">
      <formula>"Bajo"</formula>
    </cfRule>
    <cfRule type="cellIs" dxfId="20" priority="116" operator="equal">
      <formula>"Moderado"</formula>
    </cfRule>
    <cfRule type="cellIs" dxfId="19" priority="115" operator="equal">
      <formula>"Alto"</formula>
    </cfRule>
    <cfRule type="cellIs" dxfId="18" priority="114" operator="equal">
      <formula>"Extremo"</formula>
    </cfRule>
  </conditionalFormatting>
  <conditionalFormatting sqref="AG44:AG50">
    <cfRule type="cellIs" dxfId="17" priority="2" operator="equal">
      <formula>"Alto"</formula>
    </cfRule>
    <cfRule type="cellIs" dxfId="16" priority="1" operator="equal">
      <formula>"Extremo"</formula>
    </cfRule>
    <cfRule type="cellIs" dxfId="15" priority="3" operator="equal">
      <formula>"Moderado"</formula>
    </cfRule>
    <cfRule type="cellIs" dxfId="14" priority="4" operator="equal">
      <formula>"Bajo"</formula>
    </cfRule>
  </conditionalFormatting>
  <conditionalFormatting sqref="AI44">
    <cfRule type="cellIs" dxfId="13" priority="154" operator="equal">
      <formula>"Muy Alta"</formula>
    </cfRule>
    <cfRule type="cellIs" dxfId="12" priority="158" operator="equal">
      <formula>"Muy Baja"</formula>
    </cfRule>
    <cfRule type="cellIs" dxfId="11" priority="157" operator="equal">
      <formula>"Baja"</formula>
    </cfRule>
    <cfRule type="cellIs" dxfId="10" priority="156" operator="equal">
      <formula>"Media"</formula>
    </cfRule>
    <cfRule type="cellIs" dxfId="9" priority="155" operator="equal">
      <formula>"Alta"</formula>
    </cfRule>
  </conditionalFormatting>
  <conditionalFormatting sqref="AK44">
    <cfRule type="cellIs" dxfId="8" priority="151" operator="equal">
      <formula>"Moderado"</formula>
    </cfRule>
    <cfRule type="cellIs" dxfId="7" priority="153" operator="equal">
      <formula>"Leve"</formula>
    </cfRule>
    <cfRule type="cellIs" dxfId="6" priority="150" operator="equal">
      <formula>"Mayor"</formula>
    </cfRule>
    <cfRule type="cellIs" dxfId="5" priority="149" operator="equal">
      <formula>"Catastrófico"</formula>
    </cfRule>
    <cfRule type="cellIs" dxfId="4" priority="152" operator="equal">
      <formula>"Menor"</formula>
    </cfRule>
  </conditionalFormatting>
  <conditionalFormatting sqref="AM44:AN44">
    <cfRule type="cellIs" dxfId="3" priority="85" operator="equal">
      <formula>"Alto"</formula>
    </cfRule>
    <cfRule type="cellIs" dxfId="2" priority="86" operator="equal">
      <formula>"Moderado"</formula>
    </cfRule>
    <cfRule type="cellIs" dxfId="1" priority="84" operator="equal">
      <formula>"Extremo"</formula>
    </cfRule>
    <cfRule type="cellIs" dxfId="0" priority="87" operator="equal">
      <formula>"Bajo"</formula>
    </cfRule>
  </conditionalFormatting>
  <dataValidations count="1">
    <dataValidation allowBlank="1" showInputMessage="1" showErrorMessage="1" error="Recuerde que las acciones se generan bajo la medida de mitigar el riesgo" sqref="AK42:AL42 AJ45:AK45 AK44:AL44 AK46:AL46 AJ47:AK47 AJ49:AK49" xr:uid="{00000000-0002-0000-0200-000000000000}"/>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88">
        <x14:dataValidation type="list" allowBlank="1" showInputMessage="1" showErrorMessage="1" xr:uid="{00000000-0002-0000-0200-000001000000}">
          <x14:formula1>
            <xm:f>'Tabla Valoración controles'!$D$4:$D$6</xm:f>
          </x14:formula1>
          <xm:sqref>T9:T10</xm:sqref>
        </x14:dataValidation>
        <x14:dataValidation type="list" allowBlank="1" showInputMessage="1" showErrorMessage="1" xr:uid="{00000000-0002-0000-0200-000002000000}">
          <x14:formula1>
            <xm:f>'Tabla Valoración controles'!$D$7:$D$8</xm:f>
          </x14:formula1>
          <xm:sqref>U9:U10</xm:sqref>
        </x14:dataValidation>
        <x14:dataValidation type="list" allowBlank="1" showInputMessage="1" showErrorMessage="1" xr:uid="{00000000-0002-0000-0200-000003000000}">
          <x14:formula1>
            <xm:f>'Tabla Valoración controles'!$D$9:$D$10</xm:f>
          </x14:formula1>
          <xm:sqref>W9:W10</xm:sqref>
        </x14:dataValidation>
        <x14:dataValidation type="list" allowBlank="1" showInputMessage="1" showErrorMessage="1" xr:uid="{00000000-0002-0000-0200-000004000000}">
          <x14:formula1>
            <xm:f>'Tabla Valoración controles'!$D$11:$D$12</xm:f>
          </x14:formula1>
          <xm:sqref>X9:X10</xm:sqref>
        </x14:dataValidation>
        <x14:dataValidation type="list" allowBlank="1" showInputMessage="1" showErrorMessage="1" xr:uid="{00000000-0002-0000-0200-000005000000}">
          <x14:formula1>
            <xm:f>'Tabla Valoración controles'!$D$13:$D$14</xm:f>
          </x14:formula1>
          <xm:sqref>Y9:Y10</xm:sqref>
        </x14:dataValidation>
        <x14:dataValidation type="list" allowBlank="1" showInputMessage="1" showErrorMessage="1" xr:uid="{00000000-0002-0000-0200-000006000000}">
          <x14:formula1>
            <xm:f>'Opciones Tratamiento'!$E$2:$E$4</xm:f>
          </x14:formula1>
          <xm:sqref>D9</xm:sqref>
        </x14:dataValidation>
        <x14:dataValidation type="list" allowBlank="1" showInputMessage="1" showErrorMessage="1" xr:uid="{00000000-0002-0000-0200-000007000000}">
          <x14:formula1>
            <xm:f>'Opciones Tratamiento'!$B$2:$B$5</xm:f>
          </x14:formula1>
          <xm:sqref>AH9:AH10</xm:sqref>
        </x14:dataValidation>
        <x14:dataValidation type="list" allowBlank="1" showInputMessage="1" showErrorMessage="1" xr:uid="{00000000-0002-0000-0200-000008000000}">
          <x14:formula1>
            <xm:f>'Opciones Tratamiento'!$B$13:$B$19</xm:f>
          </x14:formula1>
          <xm:sqref>G9</xm:sqref>
        </x14:dataValidation>
        <x14:dataValidation type="list" allowBlank="1" showInputMessage="1" showErrorMessage="1" xr:uid="{00000000-0002-0000-0200-000009000000}">
          <x14:formula1>
            <xm:f>'G:\MAPAS DE RIESGOS GENERAL\MAPA DE RIESGOS CORRUPCIÓN 2023\CORRUPCION\PROCESOS DE APOYO\[RIESGOS CORRUPCION ALMACEN  2023.xlsx]Opciones Tratamiento'!#REF!</xm:f>
          </x14:formula1>
          <xm:sqref>AH11 G11 D11</xm:sqref>
        </x14:dataValidation>
        <x14:dataValidation type="list" allowBlank="1" showInputMessage="1" showErrorMessage="1" xr:uid="{00000000-0002-0000-0200-00000A000000}">
          <x14:formula1>
            <xm:f>'G:\MAPAS DE RIESGOS GENERAL\MAPA DE RIESGOS CORRUPCIÓN 2023\CORRUPCION\PROCESOS DE APOYO\[RIESGOS CORRUPCION ALMACEN  2023.xlsx]Tabla Valoración controles'!#REF!</xm:f>
          </x14:formula1>
          <xm:sqref>T11:U11 W11:Y11</xm:sqref>
        </x14:dataValidation>
        <x14:dataValidation type="custom" allowBlank="1" showInputMessage="1" showErrorMessage="1" error="Recuerde que las acciones se generan bajo la medida de mitigar el riesgo" xr:uid="{00000000-0002-0000-0200-00000B000000}">
          <x14:formula1>
            <xm:f>IF(OR(AH12='G:\MAPAS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Tratamiento'!#REF!),ISBLANK(AH12),ISTEXT(AH12))</xm:f>
          </x14:formula1>
          <xm:sqref>AM12</xm:sqref>
        </x14:dataValidation>
        <x14:dataValidation type="custom" allowBlank="1" showInputMessage="1" showErrorMessage="1" error="Recuerde que las acciones se generan bajo la medida de mitigar el riesgo" xr:uid="{00000000-0002-0000-0200-00000C000000}">
          <x14:formula1>
            <xm:f>IF(OR(AH12='G:\MAPAS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Tratamiento'!#REF!),ISBLANK(AH12),ISTEXT(AH12))</xm:f>
          </x14:formula1>
          <xm:sqref>AL12</xm:sqref>
        </x14:dataValidation>
        <x14:dataValidation type="custom" allowBlank="1" showInputMessage="1" showErrorMessage="1" error="Recuerde que las acciones se generan bajo la medida de mitigar el riesgo" xr:uid="{00000000-0002-0000-0200-00000D000000}">
          <x14:formula1>
            <xm:f>IF(OR(AH12='G:\MAPAS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Tratamiento'!#REF!),ISBLANK(AH12),ISTEXT(AH12))</xm:f>
          </x14:formula1>
          <xm:sqref>AK12</xm:sqref>
        </x14:dataValidation>
        <x14:dataValidation type="custom" allowBlank="1" showInputMessage="1" showErrorMessage="1" error="Recuerde que las acciones se generan bajo la medida de mitigar el riesgo" xr:uid="{00000000-0002-0000-0200-00000E000000}">
          <x14:formula1>
            <xm:f>IF(OR(AH12='G:\MAPAS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Tratamiento'!#REF!),ISBLANK(AH12),ISTEXT(AH12))</xm:f>
          </x14:formula1>
          <xm:sqref>AJ12</xm:sqref>
        </x14:dataValidation>
        <x14:dataValidation type="custom" allowBlank="1" showInputMessage="1" showErrorMessage="1" error="Recuerde que las acciones se generan bajo la medida de mitigar el riesgo" xr:uid="{00000000-0002-0000-0200-00000F000000}">
          <x14:formula1>
            <xm:f>IF(OR(AH12='G:\MAPAS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Tratamiento'!#REF!),ISBLANK(AH12),ISTEXT(AH12))</xm:f>
          </x14:formula1>
          <xm:sqref>AI12</xm:sqref>
        </x14:dataValidation>
        <x14:dataValidation type="list" allowBlank="1" showInputMessage="1" showErrorMessage="1" xr:uid="{00000000-0002-0000-0200-000010000000}">
          <x14:formula1>
            <xm:f>'G:\MAPAS DE RIESGOS GENERAL\MAPA DE RIESGOS CORRUPCIÓN 2023\CORRUPCION\PROCESOS DE APOYO\[RIESGOS CORRUPCION BIOMEDICA 2023.xlsx]Opciones Tratamiento'!#REF!</xm:f>
          </x14:formula1>
          <xm:sqref>AH12 AN12 G12:G14 D12:D14</xm:sqref>
        </x14:dataValidation>
        <x14:dataValidation type="list" allowBlank="1" showInputMessage="1" showErrorMessage="1" xr:uid="{00000000-0002-0000-0200-000011000000}">
          <x14:formula1>
            <xm:f>'G:\MAPAS DE RIESGOS GENERAL\MAPA DE RIESGOS CORRUPCIÓN 2023\CORRUPCION\PROCESOS DE APOYO\[RIESGOS CORRUPCION BIOMEDICA 2023.xlsx]Tabla Valoración controles'!#REF!</xm:f>
          </x14:formula1>
          <xm:sqref>T12:U14 W12:Y14</xm:sqref>
        </x14:dataValidation>
        <x14:dataValidation type="custom" allowBlank="1" showInputMessage="1" showErrorMessage="1" error="Recuerde que las acciones se generan bajo la medida de mitigar el riesgo" xr:uid="{00000000-0002-0000-0200-000012000000}">
          <x14:formula1>
            <xm:f>IF(OR(AH15='G:\MAPAS DE RIESGOS GENERAL\MAPA DE RIESGOS CORRUPCIÓN 2023\CORRUPCION\PROCESOS DE APOYO\[RIESGOS CORRUPCION CONTRATACION 2023.xlsx]Opciones Tratamiento'!#REF!,AH15='G:\MAPAS DE RIESGOS GENERAL\MAPA DE RIESGOS CORRUPCIÓN 2023\CORRUPCION\PROCESOS DE APOYO\[RIESGOS CORRUPCION CONTRATACION 2023.xlsx]Opciones Tratamiento'!#REF!,AH15='G:\MAPAS DE RIESGOS GENERAL\MAPA DE RIESGOS CORRUPCIÓN 2023\CORRUPCION\PROCESOS DE APOYO\[RIESGOS CORRUPCION CONTRATACION 2023.xlsx]Opciones Tratamiento'!#REF!),ISBLANK(AH15),ISTEXT(AH15))</xm:f>
          </x14:formula1>
          <xm:sqref>AI15:AN15 AI17:AN17</xm:sqref>
        </x14:dataValidation>
        <x14:dataValidation type="list" allowBlank="1" showInputMessage="1" showErrorMessage="1" xr:uid="{00000000-0002-0000-0200-000013000000}">
          <x14:formula1>
            <xm:f>'G:\MAPAS DE RIESGOS GENERAL\MAPA DE RIESGOS CORRUPCIÓN 2023\CORRUPCION\PROCESOS DE APOYO\[RIESGOS CORRUPCION CONTRATACION 2023.xlsx]Opciones Tratamiento'!#REF!</xm:f>
          </x14:formula1>
          <xm:sqref>AH15 AH17 G15:G17 D15:D17</xm:sqref>
        </x14:dataValidation>
        <x14:dataValidation type="list" allowBlank="1" showInputMessage="1" showErrorMessage="1" xr:uid="{00000000-0002-0000-0200-000014000000}">
          <x14:formula1>
            <xm:f>'Opciones Tratamiento'!$B$9:$B$10</xm:f>
          </x14:formula1>
          <xm:sqref>AN9:AN11</xm:sqref>
        </x14:dataValidation>
        <x14:dataValidation type="custom" allowBlank="1" showInputMessage="1" showErrorMessage="1" error="Recuerde que las acciones se generan bajo la medida de mitigar el riesgo" xr:uid="{00000000-0002-0000-0200-000015000000}">
          <x14:formula1>
            <xm:f>IF(OR(#REF!='G:\MAPAS DE RIESGOS GENERAL\MAPA DE RIESGOS CORRUPCIÓN 2023\CORRUPCION\PROCESOS DE APOYO\[RIESGOS CORRUPCION ALMACEN  2023.xlsx]Opciones Tratamiento'!#REF!,#REF!='G:\MAPAS DE RIESGOS GENERAL\MAPA DE RIESGOS CORRUPCIÓN 2023\CORRUPCION\PROCESOS DE APOYO\[RIESGOS CORRUPCION ALMACEN  2023.xlsx]Opciones Tratamiento'!#REF!,#REF!='G:\MAPAS DE RIESGOS GENERAL\MAPA DE RIESGOS CORRUPCIÓN 2023\CORRUPCION\PROCESOS DE APOYO\[RIESGOS CORRUPCION ALMACEN  2023.xlsx]Opciones Tratamiento'!#REF!),ISBLANK(#REF!),ISTEXT(#REF!))</xm:f>
          </x14:formula1>
          <xm:sqref>AI11:AM11</xm:sqref>
        </x14:dataValidation>
        <x14:dataValidation type="custom" allowBlank="1" showInputMessage="1" showErrorMessage="1" error="Recuerde que las acciones se generan bajo la medida de mitigar el riesgo" xr:uid="{00000000-0002-0000-0200-000016000000}">
          <x14:formula1>
            <xm:f>IF(OR(#REF!='Opciones Tratamiento'!$B$2,#REF!='Opciones Tratamiento'!$B$3,#REF!='Opciones Tratamiento'!$B$4),ISBLANK(#REF!),ISTEXT(#REF!))</xm:f>
          </x14:formula1>
          <xm:sqref>AI9:AI10</xm:sqref>
        </x14:dataValidation>
        <x14:dataValidation type="custom" allowBlank="1" showInputMessage="1" showErrorMessage="1" error="Recuerde que las acciones se generan bajo la medida de mitigar el riesgo" xr:uid="{00000000-0002-0000-0200-000017000000}">
          <x14:formula1>
            <xm:f>IF(OR(#REF!='Opciones Tratamiento'!$B$2,#REF!='Opciones Tratamiento'!$B$3,#REF!='Opciones Tratamiento'!$B$4),ISBLANK(#REF!),ISTEXT(#REF!))</xm:f>
          </x14:formula1>
          <xm:sqref>AK9:AK10</xm:sqref>
        </x14:dataValidation>
        <x14:dataValidation type="custom" allowBlank="1" showInputMessage="1" showErrorMessage="1" error="Recuerde que las acciones se generan bajo la medida de mitigar el riesgo" xr:uid="{00000000-0002-0000-0200-000018000000}">
          <x14:formula1>
            <xm:f>IF(OR(#REF!='Opciones Tratamiento'!$B$2,#REF!='Opciones Tratamiento'!$B$3,#REF!='Opciones Tratamiento'!$B$4),ISBLANK(#REF!),ISTEXT(#REF!))</xm:f>
          </x14:formula1>
          <xm:sqref>AL9:AL10</xm:sqref>
        </x14:dataValidation>
        <x14:dataValidation type="custom" allowBlank="1" showInputMessage="1" showErrorMessage="1" error="Recuerde que las acciones se generan bajo la medida de mitigar el riesgo" xr:uid="{00000000-0002-0000-0200-000019000000}">
          <x14:formula1>
            <xm:f>IF(OR(#REF!='Opciones Tratamiento'!$B$2,#REF!='Opciones Tratamiento'!$B$3,#REF!='Opciones Tratamiento'!$B$4),ISBLANK(#REF!),ISTEXT(#REF!))</xm:f>
          </x14:formula1>
          <xm:sqref>AM9</xm:sqref>
        </x14:dataValidation>
        <x14:dataValidation type="list" allowBlank="1" showInputMessage="1" showErrorMessage="1" xr:uid="{00000000-0002-0000-0200-00001A000000}">
          <x14:formula1>
            <xm:f>'G:\MAPAS DE RIESGOS GENERAL\MAPA DE RIESGOS CORRUPCIÓN 2023\CORRUPCION\PROCESOS DE APOYO\[RIESGOS CORRUPCION CONTRATACION 2023.xlsx]Tabla Valoración controles'!#REF!</xm:f>
          </x14:formula1>
          <xm:sqref>T15:U17 W15:Y17</xm:sqref>
        </x14:dataValidation>
        <x14:dataValidation type="list" allowBlank="1" showInputMessage="1" showErrorMessage="1" xr:uid="{00000000-0002-0000-0200-00001B000000}">
          <x14:formula1>
            <xm:f>'G:\MAPAS DE RIESGOS GENERAL\MAPA DE RIESGOS CORRUPCIÓN 2023\CORRUPCION\PROCESOS DE APOYO\[RIESGOS CORRUPCION FINANCIERA 2023.xlsx]Opciones Tratamiento'!#REF!</xm:f>
          </x14:formula1>
          <xm:sqref>D18 AN18 AH18 G18</xm:sqref>
        </x14:dataValidation>
        <x14:dataValidation type="list" allowBlank="1" showInputMessage="1" showErrorMessage="1" xr:uid="{00000000-0002-0000-0200-00001C000000}">
          <x14:formula1>
            <xm:f>'G:\MAPAS DE RIESGOS GENERAL\MAPA DE RIESGOS CORRUPCIÓN 2023\CORRUPCION\PROCESOS DE APOYO\[RIESGOS CORRUPCION FINANCIERA 2023.xlsx]Tabla Valoración controles'!#REF!</xm:f>
          </x14:formula1>
          <xm:sqref>T18:U18 W18:Y18</xm:sqref>
        </x14:dataValidation>
        <x14:dataValidation type="custom" allowBlank="1" showInputMessage="1" showErrorMessage="1" error="Recuerde que las acciones se generan bajo la medida de mitigar el riesgo" xr:uid="{00000000-0002-0000-0200-00001D000000}">
          <x14:formula1>
            <xm:f>IF(OR(AH22='G:\MAPAS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Tratamiento'!#REF!),ISBLANK(AH22),ISTEXT(AH22))</xm:f>
          </x14:formula1>
          <xm:sqref>AM22</xm:sqref>
        </x14:dataValidation>
        <x14:dataValidation type="custom" allowBlank="1" showInputMessage="1" showErrorMessage="1" error="Recuerde que las acciones se generan bajo la medida de mitigar el riesgo" xr:uid="{00000000-0002-0000-0200-00001E000000}">
          <x14:formula1>
            <xm:f>IF(OR(AH22='G:\MAPAS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Tratamiento'!#REF!),ISBLANK(AH22),ISTEXT(AH22))</xm:f>
          </x14:formula1>
          <xm:sqref>AL22</xm:sqref>
        </x14:dataValidation>
        <x14:dataValidation type="custom" allowBlank="1" showInputMessage="1" showErrorMessage="1" error="Recuerde que las acciones se generan bajo la medida de mitigar el riesgo" xr:uid="{00000000-0002-0000-0200-00001F000000}">
          <x14:formula1>
            <xm:f>IF(OR(AH22='G:\MAPAS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Tratamiento'!#REF!),ISBLANK(AH22),ISTEXT(AH22))</xm:f>
          </x14:formula1>
          <xm:sqref>AK22</xm:sqref>
        </x14:dataValidation>
        <x14:dataValidation type="custom" allowBlank="1" showInputMessage="1" showErrorMessage="1" error="Recuerde que las acciones se generan bajo la medida de mitigar el riesgo" xr:uid="{00000000-0002-0000-0200-000020000000}">
          <x14:formula1>
            <xm:f>IF(OR(AH22='G:\MAPAS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Tratamiento'!#REF!),ISBLANK(AH22),ISTEXT(AH22))</xm:f>
          </x14:formula1>
          <xm:sqref>AJ22</xm:sqref>
        </x14:dataValidation>
        <x14:dataValidation type="custom" allowBlank="1" showInputMessage="1" showErrorMessage="1" error="Recuerde que las acciones se generan bajo la medida de mitigar el riesgo" xr:uid="{00000000-0002-0000-0200-000021000000}">
          <x14:formula1>
            <xm:f>IF(OR(AH22='G:\MAPAS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Tratamiento'!#REF!),ISBLANK(AH22),ISTEXT(AH22))</xm:f>
          </x14:formula1>
          <xm:sqref>AI22</xm:sqref>
        </x14:dataValidation>
        <x14:dataValidation type="list" allowBlank="1" showInputMessage="1" showErrorMessage="1" xr:uid="{00000000-0002-0000-0200-000022000000}">
          <x14:formula1>
            <xm:f>'G:\MAPAS DE RIESGOS GENERAL\MAPA DE RIESGOS CORRUPCIÓN 2023\CORRUPCION\PROCESOS DE APOYO\[RIESGOS CORRUPCION GESTION DOCUMENTAL 2023.xlsx]Opciones Tratamiento'!#REF!</xm:f>
          </x14:formula1>
          <xm:sqref>AH22 AN22 G22:G23 D22:D23</xm:sqref>
        </x14:dataValidation>
        <x14:dataValidation type="list" allowBlank="1" showInputMessage="1" showErrorMessage="1" xr:uid="{00000000-0002-0000-0200-000023000000}">
          <x14:formula1>
            <xm:f>'G:\MAPAS DE RIESGOS GENERAL\MAPA DE RIESGOS CORRUPCIÓN 2023\CORRUPCION\PROCESOS DE APOYO\[RIESGOS CORRUPCION GESTION DOCUMENTAL 2023.xlsx]Tabla Valoración controles'!#REF!</xm:f>
          </x14:formula1>
          <xm:sqref>T22:U23 W22:Y23</xm:sqref>
        </x14:dataValidation>
        <x14:dataValidation type="list" allowBlank="1" showInputMessage="1" showErrorMessage="1" xr:uid="{00000000-0002-0000-0200-000024000000}">
          <x14:formula1>
            <xm:f>'G:\MAPAS DE RIESGOS GENERAL\MAPA DE RIESGOS CORRUPCIÓN 2023\CORRUPCION\PROCESOS DE APOYO\[RIESGOS CORRUPCION JURIDICA 2023.xlsx]Opciones Tratamiento'!#REF!</xm:f>
          </x14:formula1>
          <xm:sqref>AH24 AN24 G24 D24</xm:sqref>
        </x14:dataValidation>
        <x14:dataValidation type="list" allowBlank="1" showInputMessage="1" showErrorMessage="1" xr:uid="{00000000-0002-0000-0200-000025000000}">
          <x14:formula1>
            <xm:f>'G:\MAPAS DE RIESGOS GENERAL\MAPA DE RIESGOS CORRUPCIÓN 2023\CORRUPCION\PROCESOS DE APOYO\[RIESGOS CORRUPCION JURIDICA 2023.xlsx]Tabla Valoración controles'!#REF!</xm:f>
          </x14:formula1>
          <xm:sqref>T24:U24 W24:Y24</xm:sqref>
        </x14:dataValidation>
        <x14:dataValidation type="custom" allowBlank="1" showInputMessage="1" showErrorMessage="1" error="Recuerde que las acciones se generan bajo la medida de mitigar el riesgo" xr:uid="{00000000-0002-0000-0200-000026000000}">
          <x14:formula1>
            <xm:f>IF(OR(AH25='G:\MAPAS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Tratamiento'!#REF!),ISBLANK(AH25),ISTEXT(AH25))</xm:f>
          </x14:formula1>
          <xm:sqref>AM25</xm:sqref>
        </x14:dataValidation>
        <x14:dataValidation type="custom" allowBlank="1" showInputMessage="1" showErrorMessage="1" error="Recuerde que las acciones se generan bajo la medida de mitigar el riesgo" xr:uid="{00000000-0002-0000-0200-000027000000}">
          <x14:formula1>
            <xm:f>IF(OR(AH25='G:\MAPAS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Tratamiento'!#REF!),ISBLANK(AH25),ISTEXT(AH25))</xm:f>
          </x14:formula1>
          <xm:sqref>AL25</xm:sqref>
        </x14:dataValidation>
        <x14:dataValidation type="custom" allowBlank="1" showInputMessage="1" showErrorMessage="1" error="Recuerde que las acciones se generan bajo la medida de mitigar el riesgo" xr:uid="{00000000-0002-0000-0200-000028000000}">
          <x14:formula1>
            <xm:f>IF(OR(AH25='G:\MAPAS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Tratamiento'!#REF!),ISBLANK(AH25),ISTEXT(AH25))</xm:f>
          </x14:formula1>
          <xm:sqref>AK25</xm:sqref>
        </x14:dataValidation>
        <x14:dataValidation type="custom" allowBlank="1" showInputMessage="1" showErrorMessage="1" error="Recuerde que las acciones se generan bajo la medida de mitigar el riesgo" xr:uid="{00000000-0002-0000-0200-000029000000}">
          <x14:formula1>
            <xm:f>IF(OR(AH25='G:\MAPAS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Tratamiento'!#REF!),ISBLANK(AH25),ISTEXT(AH25))</xm:f>
          </x14:formula1>
          <xm:sqref>AJ25</xm:sqref>
        </x14:dataValidation>
        <x14:dataValidation type="custom" allowBlank="1" showInputMessage="1" showErrorMessage="1" error="Recuerde que las acciones se generan bajo la medida de mitigar el riesgo" xr:uid="{00000000-0002-0000-0200-00002A000000}">
          <x14:formula1>
            <xm:f>IF(OR(AH25='G:\MAPAS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Tratamiento'!#REF!),ISBLANK(AH25),ISTEXT(AH25))</xm:f>
          </x14:formula1>
          <xm:sqref>AI25</xm:sqref>
        </x14:dataValidation>
        <x14:dataValidation type="list" allowBlank="1" showInputMessage="1" showErrorMessage="1" xr:uid="{00000000-0002-0000-0200-00002B000000}">
          <x14:formula1>
            <xm:f>'G:\MAPAS DE RIESGOS GENERAL\MAPA DE RIESGOS CORRUPCIÓN 2023\CORRUPCION\PROCESOS DE APOYO\[RIESGOS CORRUPCION MANTENIMIENTO 2023.xlsx]Opciones Tratamiento'!#REF!</xm:f>
          </x14:formula1>
          <xm:sqref>AH25 AN25 G25:G26 D25:D26</xm:sqref>
        </x14:dataValidation>
        <x14:dataValidation type="list" allowBlank="1" showInputMessage="1" showErrorMessage="1" xr:uid="{00000000-0002-0000-0200-00002C000000}">
          <x14:formula1>
            <xm:f>'G:\MAPAS DE RIESGOS GENERAL\MAPA DE RIESGOS CORRUPCIÓN 2023\CORRUPCION\PROCESOS DE APOYO\[RIESGOS CORRUPCION MANTENIMIENTO 2023.xlsx]Tabla Valoración controles'!#REF!</xm:f>
          </x14:formula1>
          <xm:sqref>T25:U26 W25:Y26</xm:sqref>
        </x14:dataValidation>
        <x14:dataValidation type="custom" allowBlank="1" showInputMessage="1" showErrorMessage="1" error="Recuerde que las acciones se generan bajo la medida de mitigar el riesgo" xr:uid="{00000000-0002-0000-0200-00002D000000}">
          <x14:formula1>
            <xm:f>IF(OR(AH24='G:\MAPAS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Tratamiento'!#REF!),ISBLANK(AH24),ISTEXT(AH24))</xm:f>
          </x14:formula1>
          <xm:sqref>AM24</xm:sqref>
        </x14:dataValidation>
        <x14:dataValidation type="custom" allowBlank="1" showInputMessage="1" showErrorMessage="1" error="Recuerde que las acciones se generan bajo la medida de mitigar el riesgo" xr:uid="{00000000-0002-0000-0200-00002E000000}">
          <x14:formula1>
            <xm:f>IF(OR(AH24='G:\MAPAS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Tratamiento'!#REF!),ISBLANK(AH24),ISTEXT(AH24))</xm:f>
          </x14:formula1>
          <xm:sqref>AL24</xm:sqref>
        </x14:dataValidation>
        <x14:dataValidation type="custom" allowBlank="1" showInputMessage="1" showErrorMessage="1" error="Recuerde que las acciones se generan bajo la medida de mitigar el riesgo" xr:uid="{00000000-0002-0000-0200-00002F000000}">
          <x14:formula1>
            <xm:f>IF(OR(AH24='G:\MAPAS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Tratamiento'!#REF!),ISBLANK(AH24),ISTEXT(AH24))</xm:f>
          </x14:formula1>
          <xm:sqref>AK24</xm:sqref>
        </x14:dataValidation>
        <x14:dataValidation type="custom" allowBlank="1" showInputMessage="1" showErrorMessage="1" error="Recuerde que las acciones se generan bajo la medida de mitigar el riesgo" xr:uid="{00000000-0002-0000-0200-000030000000}">
          <x14:formula1>
            <xm:f>IF(OR(AH24='G:\MAPAS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Tratamiento'!#REF!),ISBLANK(AH24),ISTEXT(AH24))</xm:f>
          </x14:formula1>
          <xm:sqref>AJ24</xm:sqref>
        </x14:dataValidation>
        <x14:dataValidation type="custom" allowBlank="1" showInputMessage="1" showErrorMessage="1" error="Recuerde que las acciones se generan bajo la medida de mitigar el riesgo" xr:uid="{00000000-0002-0000-0200-000031000000}">
          <x14:formula1>
            <xm:f>IF(OR(AH24='G:\MAPAS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Tratamiento'!#REF!),ISBLANK(AH24),ISTEXT(AH24))</xm:f>
          </x14:formula1>
          <xm:sqref>AI24</xm:sqref>
        </x14:dataValidation>
        <x14:dataValidation type="custom" allowBlank="1" showInputMessage="1" showErrorMessage="1" error="Recuerde que las acciones se generan bajo la medida de mitigar el riesgo" xr:uid="{00000000-0002-0000-0200-000032000000}">
          <x14:formula1>
            <xm:f>IF(OR(AH27='G:\MAPAS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Tratamiento'!#REF!),ISBLANK(AH27),ISTEXT(AH27))</xm:f>
          </x14:formula1>
          <xm:sqref>AM27:AM28</xm:sqref>
        </x14:dataValidation>
        <x14:dataValidation type="custom" allowBlank="1" showInputMessage="1" showErrorMessage="1" error="Recuerde que las acciones se generan bajo la medida de mitigar el riesgo" xr:uid="{00000000-0002-0000-0200-000033000000}">
          <x14:formula1>
            <xm:f>IF(OR(AH27='G:\MAPAS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Tratamiento'!#REF!),ISBLANK(AH27),ISTEXT(AH27))</xm:f>
          </x14:formula1>
          <xm:sqref>AL27:AL28</xm:sqref>
        </x14:dataValidation>
        <x14:dataValidation type="custom" allowBlank="1" showInputMessage="1" showErrorMessage="1" error="Recuerde que las acciones se generan bajo la medida de mitigar el riesgo" xr:uid="{00000000-0002-0000-0200-000034000000}">
          <x14:formula1>
            <xm:f>IF(OR(AH27='G:\MAPAS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Tratamiento'!#REF!),ISBLANK(AH27),ISTEXT(AH27))</xm:f>
          </x14:formula1>
          <xm:sqref>AK27:AK28</xm:sqref>
        </x14:dataValidation>
        <x14:dataValidation type="custom" allowBlank="1" showInputMessage="1" showErrorMessage="1" error="Recuerde que las acciones se generan bajo la medida de mitigar el riesgo" xr:uid="{00000000-0002-0000-0200-000035000000}">
          <x14:formula1>
            <xm:f>IF(OR(AH27='G:\MAPAS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Tratamiento'!#REF!),ISBLANK(AH27),ISTEXT(AH27))</xm:f>
          </x14:formula1>
          <xm:sqref>AJ27:AJ28</xm:sqref>
        </x14:dataValidation>
        <x14:dataValidation type="custom" allowBlank="1" showInputMessage="1" showErrorMessage="1" error="Recuerde que las acciones se generan bajo la medida de mitigar el riesgo" xr:uid="{00000000-0002-0000-0200-000036000000}">
          <x14:formula1>
            <xm:f>IF(OR(AH27='G:\MAPAS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Tratamiento'!#REF!),ISBLANK(AH27),ISTEXT(AH27))</xm:f>
          </x14:formula1>
          <xm:sqref>AI27:AI28</xm:sqref>
        </x14:dataValidation>
        <x14:dataValidation type="list" allowBlank="1" showInputMessage="1" showErrorMessage="1" xr:uid="{00000000-0002-0000-0200-000037000000}">
          <x14:formula1>
            <xm:f>'G:\MAPAS DE RIESGOS GENERAL\MAPA DE RIESGOS CORRUPCIÓN 2023\CORRUPCION\PROCESOS DE APOYO\[RIESGOS CORRUPCION SISTEMAS 2023.xlsx]Opciones Tratamiento'!#REF!</xm:f>
          </x14:formula1>
          <xm:sqref>AH27 AN27:AN28 G27:G29 D27:D29</xm:sqref>
        </x14:dataValidation>
        <x14:dataValidation type="list" allowBlank="1" showInputMessage="1" showErrorMessage="1" xr:uid="{00000000-0002-0000-0200-000038000000}">
          <x14:formula1>
            <xm:f>'G:\MAPAS DE RIESGOS GENERAL\MAPA DE RIESGOS CORRUPCIÓN 2023\CORRUPCION\PROCESOS DE APOYO\[RIESGOS CORRUPCION SISTEMAS 2023.xlsx]Tabla Valoración controles'!#REF!</xm:f>
          </x14:formula1>
          <xm:sqref>T27:U29 W27:Y29</xm:sqref>
        </x14:dataValidation>
        <x14:dataValidation type="custom" allowBlank="1" showInputMessage="1" showErrorMessage="1" error="Recuerde que las acciones se generan bajo la medida de mitigar el riesgo" xr:uid="{00000000-0002-0000-0200-000039000000}">
          <x14:formula1>
            <xm:f>IF(OR(AH30='G:\MAPAS DE RIESGOS GENERAL\MAPA DE RIESGOS CORRUPCIÓN 2023\CORRUPCION\PROCESOS ESTRATEGICOS\[RIESGOS CORRUPCION  QHSE 2023.xlsx]Opciones Tratamiento'!#REF!,AH30='G:\MAPAS DE RIESGOS GENERAL\MAPA DE RIESGOS CORRUPCIÓN 2023\CORRUPCION\PROCESOS ESTRATEGICOS\[RIESGOS CORRUPCION  QHSE 2023.xlsx]Opciones Tratamiento'!#REF!,AH30='G:\MAPAS DE RIESGOS GENERAL\MAPA DE RIESGOS CORRUPCIÓN 2023\CORRUPCION\PROCESOS ESTRATEGICOS\[RIESGOS CORRUPCION  QHSE 2023.xlsx]Opciones Tratamiento'!#REF!),ISBLANK(AH30),ISTEXT(AH30))</xm:f>
          </x14:formula1>
          <xm:sqref>AI30:AN31</xm:sqref>
        </x14:dataValidation>
        <x14:dataValidation type="list" allowBlank="1" showInputMessage="1" showErrorMessage="1" xr:uid="{00000000-0002-0000-0200-00003A000000}">
          <x14:formula1>
            <xm:f>'G:\MAPAS DE RIESGOS GENERAL\MAPA DE RIESGOS CORRUPCIÓN 2023\CORRUPCION\PROCESOS ESTRATEGICOS\[RIESGOS CORRUPCION  QHSE 2023.xlsx]Opciones Tratamiento'!#REF!</xm:f>
          </x14:formula1>
          <xm:sqref>AH30 G30:G31 D30:D31</xm:sqref>
        </x14:dataValidation>
        <x14:dataValidation type="list" allowBlank="1" showInputMessage="1" showErrorMessage="1" xr:uid="{00000000-0002-0000-0200-00003B000000}">
          <x14:formula1>
            <xm:f>'G:\MAPAS DE RIESGOS GENERAL\MAPA DE RIESGOS CORRUPCIÓN 2023\CORRUPCION\PROCESOS ESTRATEGICOS\[RIESGOS CORRUPCION  QHSE 2023.xlsx]Tabla Valoración controles'!#REF!</xm:f>
          </x14:formula1>
          <xm:sqref>T30:U31 W30:Y31</xm:sqref>
        </x14:dataValidation>
        <x14:dataValidation type="list" allowBlank="1" showInputMessage="1" showErrorMessage="1" xr:uid="{00000000-0002-0000-0200-00003C000000}">
          <x14:formula1>
            <xm:f>'D:\2022\RIESGOS\MAPAS DE RIESGO\CORRUPCION\[RIESGOS CORRUPCION MANTENIMIENTO 2022.xlsx]Opciones Tratamiento'!#REF!</xm:f>
          </x14:formula1>
          <xm:sqref>AN33</xm:sqref>
        </x14:dataValidation>
        <x14:dataValidation type="custom" allowBlank="1" showInputMessage="1" showErrorMessage="1" error="Recuerde que las acciones se generan bajo la medida de mitigar el riesgo" xr:uid="{00000000-0002-0000-0200-00003D000000}">
          <x14:formula1>
            <xm:f>IF(OR(AH33='D:\2022\RIESGOS\MAPAS DE RIESGO\CORRUPCION\[RIESGOS CORRUPCION MANTENIMIENTO 2022.xlsx]Opciones Tratamiento'!#REF!,AH33='D:\2022\RIESGOS\MAPAS DE RIESGO\CORRUPCION\[RIESGOS CORRUPCION MANTENIMIENTO 2022.xlsx]Opciones Tratamiento'!#REF!,AH33='D:\2022\RIESGOS\MAPAS DE RIESGO\CORRUPCION\[RIESGOS CORRUPCION MANTENIMIENTO 2022.xlsx]Opciones Tratamiento'!#REF!),ISBLANK(AH33),ISTEXT(AH33))</xm:f>
          </x14:formula1>
          <xm:sqref>AI33</xm:sqref>
        </x14:dataValidation>
        <x14:dataValidation type="custom" allowBlank="1" showInputMessage="1" showErrorMessage="1" error="Recuerde que las acciones se generan bajo la medida de mitigar el riesgo" xr:uid="{00000000-0002-0000-0200-00003E000000}">
          <x14:formula1>
            <xm:f>IF(OR(AH33='D:\2022\RIESGOS\MAPAS DE RIESGO\CORRUPCION\[RIESGOS CORRUPCION MANTENIMIENTO 2022.xlsx]Opciones Tratamiento'!#REF!,AH33='D:\2022\RIESGOS\MAPAS DE RIESGO\CORRUPCION\[RIESGOS CORRUPCION MANTENIMIENTO 2022.xlsx]Opciones Tratamiento'!#REF!,AH33='D:\2022\RIESGOS\MAPAS DE RIESGO\CORRUPCION\[RIESGOS CORRUPCION MANTENIMIENTO 2022.xlsx]Opciones Tratamiento'!#REF!),ISBLANK(AH33),ISTEXT(AH33))</xm:f>
          </x14:formula1>
          <xm:sqref>AJ33</xm:sqref>
        </x14:dataValidation>
        <x14:dataValidation type="custom" allowBlank="1" showInputMessage="1" showErrorMessage="1" error="Recuerde que las acciones se generan bajo la medida de mitigar el riesgo" xr:uid="{00000000-0002-0000-0200-00003F000000}">
          <x14:formula1>
            <xm:f>IF(OR(AH33='D:\2022\RIESGOS\MAPAS DE RIESGO\CORRUPCION\[RIESGOS CORRUPCION MANTENIMIENTO 2022.xlsx]Opciones Tratamiento'!#REF!,AH33='D:\2022\RIESGOS\MAPAS DE RIESGO\CORRUPCION\[RIESGOS CORRUPCION MANTENIMIENTO 2022.xlsx]Opciones Tratamiento'!#REF!,AH33='D:\2022\RIESGOS\MAPAS DE RIESGO\CORRUPCION\[RIESGOS CORRUPCION MANTENIMIENTO 2022.xlsx]Opciones Tratamiento'!#REF!),ISBLANK(AH33),ISTEXT(AH33))</xm:f>
          </x14:formula1>
          <xm:sqref>AM33</xm:sqref>
        </x14:dataValidation>
        <x14:dataValidation type="custom" allowBlank="1" showInputMessage="1" showErrorMessage="1" error="Recuerde que las acciones se generan bajo la medida de mitigar el riesgo" xr:uid="{00000000-0002-0000-0200-000040000000}">
          <x14:formula1>
            <xm:f>IF(OR(AH32='G:\MAPAS DE RIESGOS GENERAL\MAPA DE RIESGOS CORRUPCIÓN 2023\CORRUPCION\PROCESOS ESTRATEGICOS\[RIESGOS CORRUPCION TALENTO HUMANO 2023.xlsx]Opciones Tratamiento'!#REF!,AH32='G:\MAPAS DE RIESGOS GENERAL\MAPA DE RIESGOS CORRUPCIÓN 2023\CORRUPCION\PROCESOS ESTRATEGICOS\[RIESGOS CORRUPCION TALENTO HUMANO 2023.xlsx]Opciones Tratamiento'!#REF!,AH32='G:\MAPAS DE RIESGOS GENERAL\MAPA DE RIESGOS CORRUPCIÓN 2023\CORRUPCION\PROCESOS ESTRATEGICOS\[RIESGOS CORRUPCION TALENTO HUMANO 2023.xlsx]Opciones Tratamiento'!#REF!),ISBLANK(AH32),ISTEXT(AH32))</xm:f>
          </x14:formula1>
          <xm:sqref>AI32:AN32</xm:sqref>
        </x14:dataValidation>
        <x14:dataValidation type="list" allowBlank="1" showInputMessage="1" showErrorMessage="1" xr:uid="{00000000-0002-0000-0200-000041000000}">
          <x14:formula1>
            <xm:f>'G:\MAPAS DE RIESGOS GENERAL\MAPA DE RIESGOS CORRUPCIÓN 2023\CORRUPCION\PROCESOS ESTRATEGICOS\[RIESGOS CORRUPCION TALENTO HUMANO 2023.xlsx]Opciones Tratamiento'!#REF!</xm:f>
          </x14:formula1>
          <xm:sqref>D32:D34 AG33:AH33 AH32 G32:G34</xm:sqref>
        </x14:dataValidation>
        <x14:dataValidation type="list" allowBlank="1" showInputMessage="1" showErrorMessage="1" xr:uid="{00000000-0002-0000-0200-000042000000}">
          <x14:formula1>
            <xm:f>'G:\MAPAS DE RIESGOS GENERAL\MAPA DE RIESGOS CORRUPCIÓN 2023\CORRUPCION\PROCESOS ESTRATEGICOS\[RIESGOS CORRUPCION TALENTO HUMANO 2023.xlsx]Tabla Valoración controles'!#REF!</xm:f>
          </x14:formula1>
          <xm:sqref>T32:U34 W32:Y34</xm:sqref>
        </x14:dataValidation>
        <x14:dataValidation type="custom" allowBlank="1" showInputMessage="1" showErrorMessage="1" error="Recuerde que las acciones se generan bajo la medida de mitigar el riesgo" xr:uid="{00000000-0002-0000-0200-000043000000}">
          <x14:formula1>
            <xm:f>IF(OR(AH37='G:\MAPAS DE RIESGOS GENERAL\MAPA DE RIESGOS CORRUPCIÓN 2023\CORRUPCION\PROCESOS MISIONALES\[RIESGOS CORRUPCION FARMACIA  2023.xlsx]Opciones Tratamiento'!#REF!,AH37='G:\MAPAS DE RIESGOS GENERAL\MAPA DE RIESGOS CORRUPCIÓN 2023\CORRUPCION\PROCESOS MISIONALES\[RIESGOS CORRUPCION FARMACIA  2023.xlsx]Opciones Tratamiento'!#REF!,AH37='G:\MAPAS DE RIESGOS GENERAL\MAPA DE RIESGOS CORRUPCIÓN 2023\CORRUPCION\PROCESOS MISIONALES\[RIESGOS CORRUPCION FARMACIA  2023.xlsx]Opciones Tratamiento'!#REF!),ISBLANK(AH37),ISTEXT(AH37))</xm:f>
          </x14:formula1>
          <xm:sqref>AI37:AN37</xm:sqref>
        </x14:dataValidation>
        <x14:dataValidation type="list" allowBlank="1" showInputMessage="1" showErrorMessage="1" xr:uid="{00000000-0002-0000-0200-000044000000}">
          <x14:formula1>
            <xm:f>'G:\MAPAS DE RIESGOS GENERAL\MAPA DE RIESGOS CORRUPCIÓN 2023\CORRUPCION\PROCESOS MISIONALES\[RIESGOS CORRUPCION FARMACIA  2023.xlsx]Opciones Tratamiento'!#REF!</xm:f>
          </x14:formula1>
          <xm:sqref>AH37 G37 D37</xm:sqref>
        </x14:dataValidation>
        <x14:dataValidation type="list" allowBlank="1" showInputMessage="1" showErrorMessage="1" xr:uid="{00000000-0002-0000-0200-000045000000}">
          <x14:formula1>
            <xm:f>'G:\MAPAS DE RIESGOS GENERAL\MAPA DE RIESGOS CORRUPCIÓN 2023\CORRUPCION\PROCESOS MISIONALES\[RIESGOS CORRUPCION FARMACIA  2023.xlsx]Tabla Valoración controles'!#REF!</xm:f>
          </x14:formula1>
          <xm:sqref>T37:U37 W37:Y37</xm:sqref>
        </x14:dataValidation>
        <x14:dataValidation type="custom" allowBlank="1" showInputMessage="1" showErrorMessage="1" error="Recuerde que las acciones se generan bajo la medida de mitigar el riesgo" xr:uid="{00000000-0002-0000-0200-000046000000}">
          <x14:formula1>
            <xm:f>IF(OR(AH18='G:\MAPAS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Tratamiento'!#REF!),ISBLANK(AH18),ISTEXT(AH18))</xm:f>
          </x14:formula1>
          <xm:sqref>AM18</xm:sqref>
        </x14:dataValidation>
        <x14:dataValidation type="custom" allowBlank="1" showInputMessage="1" showErrorMessage="1" error="Recuerde que las acciones se generan bajo la medida de mitigar el riesgo" xr:uid="{00000000-0002-0000-0200-000047000000}">
          <x14:formula1>
            <xm:f>IF(OR(AH18='G:\MAPAS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Tratamiento'!#REF!),ISBLANK(AH18),ISTEXT(AH18))</xm:f>
          </x14:formula1>
          <xm:sqref>AL18</xm:sqref>
        </x14:dataValidation>
        <x14:dataValidation type="custom" allowBlank="1" showInputMessage="1" showErrorMessage="1" error="Recuerde que las acciones se generan bajo la medida de mitigar el riesgo" xr:uid="{00000000-0002-0000-0200-000048000000}">
          <x14:formula1>
            <xm:f>IF(OR(AH18='G:\MAPAS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Tratamiento'!#REF!),ISBLANK(AH18),ISTEXT(AH18))</xm:f>
          </x14:formula1>
          <xm:sqref>AK18</xm:sqref>
        </x14:dataValidation>
        <x14:dataValidation type="custom" allowBlank="1" showInputMessage="1" showErrorMessage="1" error="Recuerde que las acciones se generan bajo la medida de mitigar el riesgo" xr:uid="{00000000-0002-0000-0200-000049000000}">
          <x14:formula1>
            <xm:f>IF(OR(AH18='G:\MAPAS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Tratamiento'!#REF!),ISBLANK(AH18),ISTEXT(AH18))</xm:f>
          </x14:formula1>
          <xm:sqref>AJ18</xm:sqref>
        </x14:dataValidation>
        <x14:dataValidation type="custom" allowBlank="1" showInputMessage="1" showErrorMessage="1" error="Recuerde que las acciones se generan bajo la medida de mitigar el riesgo" xr:uid="{00000000-0002-0000-0200-00004A000000}">
          <x14:formula1>
            <xm:f>IF(OR(AH18='G:\MAPAS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Tratamiento'!#REF!),ISBLANK(AH18),ISTEXT(AH18))</xm:f>
          </x14:formula1>
          <xm:sqref>AI18</xm:sqref>
        </x14:dataValidation>
        <x14:dataValidation type="list" allowBlank="1" showInputMessage="1" showErrorMessage="1" xr:uid="{00000000-0002-0000-0200-00004B000000}">
          <x14:formula1>
            <xm:f>'D:\Desktop\[RIESGO SICOF CONSOLIDADO.xlsx]Opciones Tratamiento'!#REF!</xm:f>
          </x14:formula1>
          <xm:sqref>D43 AN40 AH40 AH42:AH50 G40</xm:sqref>
        </x14:dataValidation>
        <x14:dataValidation type="list" allowBlank="1" showInputMessage="1" showErrorMessage="1" xr:uid="{00000000-0002-0000-0200-00004C000000}">
          <x14:formula1>
            <xm:f>'C:\Users\DORISOL\Downloads\[FORMATO SARLAFT-SICOF (1).xlsx]Opciones Tratamiento'!#REF!</xm:f>
          </x14:formula1>
          <xm:sqref>G45</xm:sqref>
        </x14:dataValidation>
        <x14:dataValidation type="list" allowBlank="1" showInputMessage="1" showErrorMessage="1" xr:uid="{00000000-0002-0000-0200-00004D000000}">
          <x14:formula1>
            <xm:f>'E:\MAPAS DE RIESGOS GENERAL\SICOF\[FORMATO SARLAFT-SICOF 1.xlsx]Opciones Tratamiento'!#REF!</xm:f>
          </x14:formula1>
          <xm:sqref>G42:G44 G46:G50 AN42:AN44 AN50 AN46 AN48</xm:sqref>
        </x14:dataValidation>
        <x14:dataValidation type="list" allowBlank="1" showInputMessage="1" showErrorMessage="1" xr:uid="{00000000-0002-0000-0200-00004E000000}">
          <x14:formula1>
            <xm:f>'C:\Users\DORISOL\Downloads\[FORMATO SARLAFT-SICOF (1).xlsx]Tabla Valoración controles'!#REF!</xm:f>
          </x14:formula1>
          <xm:sqref>T44:U44 W44:Y44</xm:sqref>
        </x14:dataValidation>
        <x14:dataValidation type="list" allowBlank="1" showInputMessage="1" showErrorMessage="1" xr:uid="{00000000-0002-0000-0200-00004F000000}">
          <x14:formula1>
            <xm:f>'E:\MAPAS DE RIESGOS GENERAL\SICOF\[FORMATO SARLAFT-SICOF 1.xlsx]Tabla Valoración controles'!#REF!</xm:f>
          </x14:formula1>
          <xm:sqref>T42:U43 T45:U50 W42:Y43 W45:Y50</xm:sqref>
        </x14:dataValidation>
        <x14:dataValidation type="list" allowBlank="1" showInputMessage="1" showErrorMessage="1" xr:uid="{00000000-0002-0000-0200-000050000000}">
          <x14:formula1>
            <xm:f>'D:\Desktop\[RIESGO SICOF CONSOLIDADO.xlsx]Tabla Valoración controles'!#REF!</xm:f>
          </x14:formula1>
          <xm:sqref>T40:U41 W40:Y41</xm:sqref>
        </x14:dataValidation>
        <x14:dataValidation type="custom" allowBlank="1" showInputMessage="1" showErrorMessage="1" error="Recuerde que las acciones se generan bajo la medida de mitigar el riesgo" xr:uid="{00000000-0002-0000-0200-000051000000}">
          <x14:formula1>
            <xm:f>IF(OR(AH43='F:\SARLAFT HOSPITAL TUNJA\OFICINA\SICOF -SALRAFT HUSRT 2023\MATRIZ RIESGO SARLAF-SICOF\[FORMATO MAPA DE RIESGOS SICOF SARLAFT.xlsx]Opciones Tratamiento'!#REF!,AH43='F:\SARLAFT HOSPITAL TUNJA\OFICINA\SICOF -SALRAFT HUSRT 2023\MATRIZ RIESGO SARLAF-SICOF\[FORMATO MAPA DE RIESGOS SICOF SARLAFT.xlsx]Opciones Tratamiento'!#REF!,AH43='F:\SARLAFT HOSPITAL TUNJA\OFICINA\SICOF -SALRAFT HUSRT 2023\MATRIZ RIESGO SARLAF-SICOF\[FORMATO MAPA DE RIESGOS SICOF SARLAFT.xlsx]Opciones Tratamiento'!#REF!),ISBLANK(AH43),ISTEXT(AH43))</xm:f>
          </x14:formula1>
          <xm:sqref>AL43</xm:sqref>
        </x14:dataValidation>
        <x14:dataValidation type="custom" allowBlank="1" showInputMessage="1" showErrorMessage="1" error="Recuerde que las acciones se generan bajo la medida de mitigar el riesgo" xr:uid="{00000000-0002-0000-0200-000052000000}">
          <x14:formula1>
            <xm:f>IF(OR(AH43='F:\SARLAFT HOSPITAL TUNJA\OFICINA\SICOF -SALRAFT HUSRT 2023\MATRIZ RIESGO SARLAF-SICOF\[FORMATO MAPA DE RIESGOS SICOF SARLAFT.xlsx]Opciones Tratamiento'!#REF!,AH43='F:\SARLAFT HOSPITAL TUNJA\OFICINA\SICOF -SALRAFT HUSRT 2023\MATRIZ RIESGO SARLAF-SICOF\[FORMATO MAPA DE RIESGOS SICOF SARLAFT.xlsx]Opciones Tratamiento'!#REF!,AH43='F:\SARLAFT HOSPITAL TUNJA\OFICINA\SICOF -SALRAFT HUSRT 2023\MATRIZ RIESGO SARLAF-SICOF\[FORMATO MAPA DE RIESGOS SICOF SARLAFT.xlsx]Opciones Tratamiento'!#REF!),ISBLANK(AH43),ISTEXT(AH43))</xm:f>
          </x14:formula1>
          <xm:sqref>AK43</xm:sqref>
        </x14:dataValidation>
        <x14:dataValidation type="custom" allowBlank="1" showInputMessage="1" showErrorMessage="1" error="Recuerde que las acciones se generan bajo la medida de mitigar el riesgo" xr:uid="{00000000-0002-0000-0200-000053000000}">
          <x14:formula1>
            <xm:f>IF(OR(AH43='F:\SARLAFT HOSPITAL TUNJA\OFICINA\SICOF -SALRAFT HUSRT 2023\MATRIZ RIESGO SARLAF-SICOF\[FORMATO MAPA DE RIESGOS SICOF SARLAFT.xlsx]Opciones Tratamiento'!#REF!,AH43='F:\SARLAFT HOSPITAL TUNJA\OFICINA\SICOF -SALRAFT HUSRT 2023\MATRIZ RIESGO SARLAF-SICOF\[FORMATO MAPA DE RIESGOS SICOF SARLAFT.xlsx]Opciones Tratamiento'!#REF!,AH43='F:\SARLAFT HOSPITAL TUNJA\OFICINA\SICOF -SALRAFT HUSRT 2023\MATRIZ RIESGO SARLAF-SICOF\[FORMATO MAPA DE RIESGOS SICOF SARLAFT.xlsx]Opciones Tratamiento'!#REF!),ISBLANK(AH43),ISTEXT(AH43))</xm:f>
          </x14:formula1>
          <xm:sqref>AJ43</xm:sqref>
        </x14:dataValidation>
        <x14:dataValidation type="custom" allowBlank="1" showInputMessage="1" showErrorMessage="1" error="Recuerde que las acciones se generan bajo la medida de mitigar el riesgo" xr:uid="{00000000-0002-0000-0200-000054000000}">
          <x14:formula1>
            <xm:f>IF(OR(AH48='D:\Desktop\[RIESGO SICOF CONSOLIDADO.xlsx]Opciones Tratamiento'!#REF!,AH48='D:\Desktop\[RIESGO SICOF CONSOLIDADO.xlsx]Opciones Tratamiento'!#REF!,AH48='D:\Desktop\[RIESGO SICOF CONSOLIDADO.xlsx]Opciones Tratamiento'!#REF!),ISBLANK(AH48),ISTEXT(AH48))</xm:f>
          </x14:formula1>
          <xm:sqref>AM40</xm:sqref>
        </x14:dataValidation>
        <x14:dataValidation type="custom" allowBlank="1" showInputMessage="1" showErrorMessage="1" error="Recuerde que las acciones se generan bajo la medida de mitigar el riesgo" xr:uid="{00000000-0002-0000-0200-000055000000}">
          <x14:formula1>
            <xm:f>IF(OR(AH48='D:\Desktop\[RIESGO SICOF CONSOLIDADO.xlsx]Opciones Tratamiento'!#REF!,AH48='D:\Desktop\[RIESGO SICOF CONSOLIDADO.xlsx]Opciones Tratamiento'!#REF!,AH48='D:\Desktop\[RIESGO SICOF CONSOLIDADO.xlsx]Opciones Tratamiento'!#REF!),ISBLANK(AH48),ISTEXT(AH48))</xm:f>
          </x14:formula1>
          <xm:sqref>AL40</xm:sqref>
        </x14:dataValidation>
        <x14:dataValidation type="custom" allowBlank="1" showInputMessage="1" showErrorMessage="1" error="Recuerde que las acciones se generan bajo la medida de mitigar el riesgo" xr:uid="{00000000-0002-0000-0200-000056000000}">
          <x14:formula1>
            <xm:f>IF(OR(AH48='D:\Desktop\[RIESGO SICOF CONSOLIDADO.xlsx]Opciones Tratamiento'!#REF!,AH48='D:\Desktop\[RIESGO SICOF CONSOLIDADO.xlsx]Opciones Tratamiento'!#REF!,AH48='D:\Desktop\[RIESGO SICOF CONSOLIDADO.xlsx]Opciones Tratamiento'!#REF!),ISBLANK(AH48),ISTEXT(AH48))</xm:f>
          </x14:formula1>
          <xm:sqref>AK40</xm:sqref>
        </x14:dataValidation>
        <x14:dataValidation type="custom" allowBlank="1" showInputMessage="1" showErrorMessage="1" error="Recuerde que las acciones se generan bajo la medida de mitigar el riesgo" xr:uid="{00000000-0002-0000-0200-000057000000}">
          <x14:formula1>
            <xm:f>IF(OR(AH48='D:\Desktop\[RIESGO SICOF CONSOLIDADO.xlsx]Opciones Tratamiento'!#REF!,AH48='D:\Desktop\[RIESGO SICOF CONSOLIDADO.xlsx]Opciones Tratamiento'!#REF!,AH48='D:\Desktop\[RIESGO SICOF CONSOLIDADO.xlsx]Opciones Tratamiento'!#REF!),ISBLANK(AH48),ISTEXT(AH48))</xm:f>
          </x14:formula1>
          <xm:sqref>AJ40</xm:sqref>
        </x14:dataValidation>
        <x14:dataValidation type="custom" allowBlank="1" showInputMessage="1" showErrorMessage="1" error="Recuerde que las acciones se generan bajo la medida de mitigar el riesgo" xr:uid="{00000000-0002-0000-0200-000058000000}">
          <x14:formula1>
            <xm:f>IF(OR(AH48='D:\Desktop\[RIESGO SICOF CONSOLIDADO.xlsx]Opciones Tratamiento'!#REF!,AH48='D:\Desktop\[RIESGO SICOF CONSOLIDADO.xlsx]Opciones Tratamiento'!#REF!,AH48='D:\Desktop\[RIESGO SICOF CONSOLIDADO.xlsx]Opciones Tratamiento'!#REF!),ISBLANK(AH48),ISTEXT(AH48))</xm:f>
          </x14:formula1>
          <xm:sqref>AI40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CH120"/>
  <sheetViews>
    <sheetView zoomScale="40" zoomScaleNormal="40" workbookViewId="0">
      <selection activeCell="P18" sqref="P18:Q25"/>
    </sheetView>
  </sheetViews>
  <sheetFormatPr baseColWidth="10" defaultRowHeight="15" x14ac:dyDescent="0.25"/>
  <cols>
    <col min="2" max="27" width="5.7109375" customWidth="1"/>
    <col min="29" max="34" width="5.7109375" customWidth="1"/>
  </cols>
  <sheetData>
    <row r="1" spans="1:86" x14ac:dyDescent="0.2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row>
    <row r="2" spans="1:86" ht="18" customHeight="1" x14ac:dyDescent="0.25">
      <c r="A2" s="18"/>
      <c r="B2" s="390" t="s">
        <v>109</v>
      </c>
      <c r="C2" s="390"/>
      <c r="D2" s="390"/>
      <c r="E2" s="390"/>
      <c r="F2" s="390"/>
      <c r="G2" s="390"/>
      <c r="H2" s="430" t="s">
        <v>1</v>
      </c>
      <c r="I2" s="430"/>
      <c r="J2" s="430"/>
      <c r="K2" s="430"/>
      <c r="L2" s="430"/>
      <c r="M2" s="430"/>
      <c r="N2" s="430"/>
      <c r="O2" s="430"/>
      <c r="P2" s="430"/>
      <c r="Q2" s="430"/>
      <c r="R2" s="430"/>
      <c r="S2" s="430"/>
      <c r="T2" s="430"/>
      <c r="U2" s="430"/>
      <c r="V2" s="430"/>
      <c r="W2" s="430"/>
      <c r="X2" s="430"/>
      <c r="Y2" s="430"/>
      <c r="Z2" s="430"/>
      <c r="AA2" s="430"/>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row>
    <row r="3" spans="1:86" ht="18.75" customHeight="1" x14ac:dyDescent="0.25">
      <c r="A3" s="18"/>
      <c r="B3" s="390"/>
      <c r="C3" s="390"/>
      <c r="D3" s="390"/>
      <c r="E3" s="390"/>
      <c r="F3" s="390"/>
      <c r="G3" s="390"/>
      <c r="H3" s="430"/>
      <c r="I3" s="430"/>
      <c r="J3" s="430"/>
      <c r="K3" s="430"/>
      <c r="L3" s="430"/>
      <c r="M3" s="430"/>
      <c r="N3" s="430"/>
      <c r="O3" s="430"/>
      <c r="P3" s="430"/>
      <c r="Q3" s="430"/>
      <c r="R3" s="430"/>
      <c r="S3" s="430"/>
      <c r="T3" s="430"/>
      <c r="U3" s="430"/>
      <c r="V3" s="430"/>
      <c r="W3" s="430"/>
      <c r="X3" s="430"/>
      <c r="Y3" s="430"/>
      <c r="Z3" s="430"/>
      <c r="AA3" s="430"/>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row>
    <row r="4" spans="1:86" ht="15" customHeight="1" x14ac:dyDescent="0.25">
      <c r="A4" s="18"/>
      <c r="B4" s="390"/>
      <c r="C4" s="390"/>
      <c r="D4" s="390"/>
      <c r="E4" s="390"/>
      <c r="F4" s="390"/>
      <c r="G4" s="390"/>
      <c r="H4" s="430"/>
      <c r="I4" s="430"/>
      <c r="J4" s="430"/>
      <c r="K4" s="430"/>
      <c r="L4" s="430"/>
      <c r="M4" s="430"/>
      <c r="N4" s="430"/>
      <c r="O4" s="430"/>
      <c r="P4" s="430"/>
      <c r="Q4" s="430"/>
      <c r="R4" s="430"/>
      <c r="S4" s="430"/>
      <c r="T4" s="430"/>
      <c r="U4" s="430"/>
      <c r="V4" s="430"/>
      <c r="W4" s="430"/>
      <c r="X4" s="430"/>
      <c r="Y4" s="430"/>
      <c r="Z4" s="430"/>
      <c r="AA4" s="430"/>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row>
    <row r="5" spans="1:86" ht="15.75" thickBot="1" x14ac:dyDescent="0.3">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row>
    <row r="6" spans="1:86" ht="15" customHeight="1" x14ac:dyDescent="0.25">
      <c r="A6" s="18"/>
      <c r="B6" s="411" t="s">
        <v>2</v>
      </c>
      <c r="C6" s="411"/>
      <c r="D6" s="411"/>
      <c r="E6" s="409" t="s">
        <v>84</v>
      </c>
      <c r="F6" s="410"/>
      <c r="G6" s="410"/>
      <c r="H6" s="427" t="str">
        <f>IF(AND('Mapa final'!$K$9="Muy Alta",'Mapa final'!$N$9="Leve"),CONCATENATE("R",'Mapa final'!$B$9),"")</f>
        <v/>
      </c>
      <c r="I6" s="428"/>
      <c r="J6" s="428" t="str">
        <f>IF(AND('Mapa final'!$K$11="Muy Alta",'Mapa final'!$N$11="Leve"),CONCATENATE("R",'Mapa final'!$B$11),"")</f>
        <v/>
      </c>
      <c r="K6" s="429"/>
      <c r="L6" s="427" t="str">
        <f>IF(AND('Mapa final'!$K$9="Muy Alta",'Mapa final'!$N$9="Menor"),CONCATENATE("R",'Mapa final'!$B$9),"")</f>
        <v/>
      </c>
      <c r="M6" s="428"/>
      <c r="N6" s="428" t="str">
        <f>IF(AND('Mapa final'!$K$11="Muy Alta",'Mapa final'!$N$11="Menor"),CONCATENATE("R",'Mapa final'!$B$11),"")</f>
        <v/>
      </c>
      <c r="O6" s="429"/>
      <c r="P6" s="427" t="str">
        <f>IF(AND('Mapa final'!$K$9="Muy Alta",'Mapa final'!$N$9="Moderado"),CONCATENATE("R",'Mapa final'!$B$9),"")</f>
        <v/>
      </c>
      <c r="Q6" s="428"/>
      <c r="R6" s="428" t="str">
        <f>IF(AND('Mapa final'!$K$11="Muy Alta",'Mapa final'!$N$11="Moderado"),CONCATENATE("R",'Mapa final'!$B$11),"")</f>
        <v/>
      </c>
      <c r="S6" s="429"/>
      <c r="T6" s="427" t="str">
        <f>IF(AND('Mapa final'!$K$9="Muy Alta",'Mapa final'!$N$9="Mayor"),CONCATENATE("R",'Mapa final'!$B$9),"")</f>
        <v/>
      </c>
      <c r="U6" s="428"/>
      <c r="V6" s="428" t="str">
        <f>IF(AND('Mapa final'!$K$11="Muy Alta",'Mapa final'!$N$11="Mayor"),CONCATENATE("R",'Mapa final'!$B$11),"")</f>
        <v/>
      </c>
      <c r="W6" s="429"/>
      <c r="X6" s="412" t="str">
        <f>IF(AND('Mapa final'!$K$9="Muy Alta",'Mapa final'!$N$9="Catastrófico"),CONCATENATE("R",'Mapa final'!$B$9),"")</f>
        <v/>
      </c>
      <c r="Y6" s="413"/>
      <c r="Z6" s="413" t="str">
        <f>IF(AND('Mapa final'!$K$11="Muy Alta",'Mapa final'!$N$11="Catastrófico"),CONCATENATE("R",'Mapa final'!$B$11),"")</f>
        <v/>
      </c>
      <c r="AA6" s="416"/>
      <c r="AC6" s="431" t="s">
        <v>64</v>
      </c>
      <c r="AD6" s="432"/>
      <c r="AE6" s="432"/>
      <c r="AF6" s="432"/>
      <c r="AG6" s="432"/>
      <c r="AH6" s="433"/>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row>
    <row r="7" spans="1:86" ht="15" customHeight="1" x14ac:dyDescent="0.25">
      <c r="A7" s="18"/>
      <c r="B7" s="411"/>
      <c r="C7" s="411"/>
      <c r="D7" s="411"/>
      <c r="E7" s="410"/>
      <c r="F7" s="410"/>
      <c r="G7" s="410"/>
      <c r="H7" s="421"/>
      <c r="I7" s="422"/>
      <c r="J7" s="422"/>
      <c r="K7" s="425"/>
      <c r="L7" s="421"/>
      <c r="M7" s="422"/>
      <c r="N7" s="422"/>
      <c r="O7" s="425"/>
      <c r="P7" s="421"/>
      <c r="Q7" s="422"/>
      <c r="R7" s="422"/>
      <c r="S7" s="425"/>
      <c r="T7" s="421"/>
      <c r="U7" s="422"/>
      <c r="V7" s="422"/>
      <c r="W7" s="425"/>
      <c r="X7" s="414"/>
      <c r="Y7" s="415"/>
      <c r="Z7" s="415"/>
      <c r="AA7" s="417"/>
      <c r="AB7" s="18"/>
      <c r="AC7" s="434"/>
      <c r="AD7" s="435"/>
      <c r="AE7" s="435"/>
      <c r="AF7" s="435"/>
      <c r="AG7" s="435"/>
      <c r="AH7" s="436"/>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row>
    <row r="8" spans="1:86" ht="15" customHeight="1" x14ac:dyDescent="0.25">
      <c r="A8" s="18"/>
      <c r="B8" s="411"/>
      <c r="C8" s="411"/>
      <c r="D8" s="411"/>
      <c r="E8" s="410"/>
      <c r="F8" s="410"/>
      <c r="G8" s="410"/>
      <c r="H8" s="421" t="str">
        <f>IF(AND('Mapa final'!$K$12="Muy Alta",'Mapa final'!$N$12="Leve"),CONCATENATE("R",'Mapa final'!$B$12),"")</f>
        <v/>
      </c>
      <c r="I8" s="422"/>
      <c r="J8" s="422" t="str">
        <f>IF(AND('Mapa final'!$K$17="Muy Alta",'Mapa final'!$N$17="Leve"),CONCATENATE("R",'Mapa final'!$B$17),"")</f>
        <v/>
      </c>
      <c r="K8" s="425"/>
      <c r="L8" s="421" t="str">
        <f>IF(AND('Mapa final'!$K$12="Muy Alta",'Mapa final'!$N$12="Menor"),CONCATENATE("R",'Mapa final'!$B$12),"")</f>
        <v/>
      </c>
      <c r="M8" s="422"/>
      <c r="N8" s="422" t="str">
        <f>IF(AND('Mapa final'!$K$15="Muy Alta",'Mapa final'!$N$15="Menor"),CONCATENATE("R",'Mapa final'!$B$15),"")</f>
        <v/>
      </c>
      <c r="O8" s="425"/>
      <c r="P8" s="421" t="str">
        <f>IF(AND('Mapa final'!$K$12="Muy Alta",'Mapa final'!$N$12="Moderado"),CONCATENATE("R",'Mapa final'!$B$12),"")</f>
        <v/>
      </c>
      <c r="Q8" s="422"/>
      <c r="R8" s="422" t="str">
        <f>IF(AND('Mapa final'!$K$15="Muy Alta",'Mapa final'!$N$15="Moderado"),CONCATENATE("R",'Mapa final'!$B$15),"")</f>
        <v/>
      </c>
      <c r="S8" s="425"/>
      <c r="T8" s="421" t="str">
        <f>IF(AND('Mapa final'!$K$12="Muy Alta",'Mapa final'!$N$12="Mayor"),CONCATENATE("R",'Mapa final'!$B$12),"")</f>
        <v/>
      </c>
      <c r="U8" s="422"/>
      <c r="V8" s="422" t="str">
        <f>IF(AND('Mapa final'!$K$15="Muy Alta",'Mapa final'!$N$15="Mayor"),CONCATENATE("R",'Mapa final'!$B$15),"")</f>
        <v/>
      </c>
      <c r="W8" s="425"/>
      <c r="X8" s="414" t="str">
        <f>IF(AND('Mapa final'!$K$12="Muy Alta",'Mapa final'!$N$12="Catastrófico"),CONCATENATE("R",'Mapa final'!$B$12),"")</f>
        <v/>
      </c>
      <c r="Y8" s="415"/>
      <c r="Z8" s="415" t="str">
        <f>IF(AND('Mapa final'!$K$15="Muy Alta",'Mapa final'!$N$15="Catastrófico"),CONCATENATE("R",'Mapa final'!$B$15),"")</f>
        <v/>
      </c>
      <c r="AA8" s="417"/>
      <c r="AB8" s="18"/>
      <c r="AC8" s="434"/>
      <c r="AD8" s="435"/>
      <c r="AE8" s="435"/>
      <c r="AF8" s="435"/>
      <c r="AG8" s="435"/>
      <c r="AH8" s="436"/>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row>
    <row r="9" spans="1:86" ht="15" customHeight="1" thickBot="1" x14ac:dyDescent="0.3">
      <c r="A9" s="18"/>
      <c r="B9" s="411"/>
      <c r="C9" s="411"/>
      <c r="D9" s="411"/>
      <c r="E9" s="410"/>
      <c r="F9" s="410"/>
      <c r="G9" s="410"/>
      <c r="H9" s="423"/>
      <c r="I9" s="424"/>
      <c r="J9" s="424"/>
      <c r="K9" s="426"/>
      <c r="L9" s="423"/>
      <c r="M9" s="424"/>
      <c r="N9" s="424"/>
      <c r="O9" s="426"/>
      <c r="P9" s="423"/>
      <c r="Q9" s="424"/>
      <c r="R9" s="424"/>
      <c r="S9" s="426"/>
      <c r="T9" s="423"/>
      <c r="U9" s="424"/>
      <c r="V9" s="424"/>
      <c r="W9" s="426"/>
      <c r="X9" s="418"/>
      <c r="Y9" s="419"/>
      <c r="Z9" s="419"/>
      <c r="AA9" s="420"/>
      <c r="AB9" s="18"/>
      <c r="AC9" s="434"/>
      <c r="AD9" s="435"/>
      <c r="AE9" s="435"/>
      <c r="AF9" s="435"/>
      <c r="AG9" s="435"/>
      <c r="AH9" s="436"/>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row>
    <row r="10" spans="1:86" ht="15" customHeight="1" x14ac:dyDescent="0.25">
      <c r="A10" s="18"/>
      <c r="B10" s="411"/>
      <c r="C10" s="411"/>
      <c r="D10" s="411"/>
      <c r="E10" s="409" t="s">
        <v>83</v>
      </c>
      <c r="F10" s="410"/>
      <c r="G10" s="410"/>
      <c r="H10" s="400" t="str">
        <f>IF(AND('Mapa final'!$K$9="Alta",'Mapa final'!$N$9="Leve"),CONCATENATE("R",'Mapa final'!$B$9),"")</f>
        <v/>
      </c>
      <c r="I10" s="401"/>
      <c r="J10" s="401" t="str">
        <f>IF(AND('Mapa final'!$K$11="Alta",'Mapa final'!$N$11="Leve"),CONCATENATE("R",'Mapa final'!$B$11),"")</f>
        <v/>
      </c>
      <c r="K10" s="404"/>
      <c r="L10" s="400" t="str">
        <f>IF(AND('Mapa final'!$K$9="Alta",'Mapa final'!$N$9="Menor"),CONCATENATE("R",'Mapa final'!$B$9),"")</f>
        <v/>
      </c>
      <c r="M10" s="401"/>
      <c r="N10" s="401" t="str">
        <f>IF(AND('Mapa final'!$K$11="Alta",'Mapa final'!$N$11="Menor"),CONCATENATE("R",'Mapa final'!$B$11),"")</f>
        <v/>
      </c>
      <c r="O10" s="404"/>
      <c r="P10" s="427" t="str">
        <f>IF(AND('Mapa final'!$K$9="Alta",'Mapa final'!$N$9="Moderado"),CONCATENATE("R",'Mapa final'!$B$9),"")</f>
        <v/>
      </c>
      <c r="Q10" s="428"/>
      <c r="R10" s="428" t="str">
        <f>IF(AND('Mapa final'!$K$11="Alta",'Mapa final'!$N$11="Moderado"),CONCATENATE("R",'Mapa final'!$B$11),"")</f>
        <v/>
      </c>
      <c r="S10" s="429"/>
      <c r="T10" s="427" t="str">
        <f>IF(AND('Mapa final'!$K$9="Alta",'Mapa final'!$N$9="Mayor"),CONCATENATE("R",'Mapa final'!$B$9),"")</f>
        <v/>
      </c>
      <c r="U10" s="428"/>
      <c r="V10" s="428" t="str">
        <f>IF(AND('Mapa final'!$K$11="Alta",'Mapa final'!$N$11="Mayor"),CONCATENATE("R",'Mapa final'!$B$11),"")</f>
        <v/>
      </c>
      <c r="W10" s="429"/>
      <c r="X10" s="412" t="str">
        <f>IF(AND('Mapa final'!$K$9="Alta",'Mapa final'!$N$9="Catastrófico"),CONCATENATE("R",'Mapa final'!$B$9),"")</f>
        <v/>
      </c>
      <c r="Y10" s="413"/>
      <c r="Z10" s="413" t="str">
        <f>IF(AND('Mapa final'!$K$11="Alta",'Mapa final'!$N$11="Catastrófico"),CONCATENATE("R",'Mapa final'!$B$11),"")</f>
        <v/>
      </c>
      <c r="AA10" s="416"/>
      <c r="AB10" s="18"/>
      <c r="AC10" s="437" t="s">
        <v>65</v>
      </c>
      <c r="AD10" s="438"/>
      <c r="AE10" s="438"/>
      <c r="AF10" s="438"/>
      <c r="AG10" s="438"/>
      <c r="AH10" s="439"/>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row>
    <row r="11" spans="1:86" ht="15" customHeight="1" x14ac:dyDescent="0.25">
      <c r="A11" s="18"/>
      <c r="B11" s="411"/>
      <c r="C11" s="411"/>
      <c r="D11" s="411"/>
      <c r="E11" s="410"/>
      <c r="F11" s="410"/>
      <c r="G11" s="410"/>
      <c r="H11" s="402"/>
      <c r="I11" s="403"/>
      <c r="J11" s="403"/>
      <c r="K11" s="405"/>
      <c r="L11" s="402"/>
      <c r="M11" s="403"/>
      <c r="N11" s="403"/>
      <c r="O11" s="405"/>
      <c r="P11" s="421"/>
      <c r="Q11" s="422"/>
      <c r="R11" s="422"/>
      <c r="S11" s="425"/>
      <c r="T11" s="421"/>
      <c r="U11" s="422"/>
      <c r="V11" s="422"/>
      <c r="W11" s="425"/>
      <c r="X11" s="414"/>
      <c r="Y11" s="415"/>
      <c r="Z11" s="415"/>
      <c r="AA11" s="417"/>
      <c r="AB11" s="18"/>
      <c r="AC11" s="440"/>
      <c r="AD11" s="441"/>
      <c r="AE11" s="441"/>
      <c r="AF11" s="441"/>
      <c r="AG11" s="441"/>
      <c r="AH11" s="442"/>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row>
    <row r="12" spans="1:86" ht="15" customHeight="1" x14ac:dyDescent="0.25">
      <c r="A12" s="18"/>
      <c r="B12" s="411"/>
      <c r="C12" s="411"/>
      <c r="D12" s="411"/>
      <c r="E12" s="410"/>
      <c r="F12" s="410"/>
      <c r="G12" s="410"/>
      <c r="H12" s="402" t="str">
        <f>IF(AND('Mapa final'!$K$12="Alta",'Mapa final'!$N$12="Leve"),CONCATENATE("R",'Mapa final'!$B$12),"")</f>
        <v/>
      </c>
      <c r="I12" s="403"/>
      <c r="J12" s="403" t="str">
        <f>IF(AND('Mapa final'!$K$15="Alta",'Mapa final'!$N$15="Leve"),CONCATENATE("R",'Mapa final'!$B$15),"")</f>
        <v/>
      </c>
      <c r="K12" s="405"/>
      <c r="L12" s="402" t="str">
        <f>IF(AND('Mapa final'!$K$12="Alta",'Mapa final'!$N$12="Menor"),CONCATENATE("R",'Mapa final'!$B$12),"")</f>
        <v/>
      </c>
      <c r="M12" s="403"/>
      <c r="N12" s="403" t="str">
        <f>IF(AND('Mapa final'!$K$15="Alta",'Mapa final'!$N$15="Menor"),CONCATENATE("R",'Mapa final'!$B$15),"")</f>
        <v/>
      </c>
      <c r="O12" s="405"/>
      <c r="P12" s="421" t="str">
        <f>IF(AND('Mapa final'!$K$12="Alta",'Mapa final'!$N$12="Moderado"),CONCATENATE("R",'Mapa final'!$B$12),"")</f>
        <v/>
      </c>
      <c r="Q12" s="422"/>
      <c r="R12" s="422" t="str">
        <f>IF(AND('Mapa final'!$K$15="Alta",'Mapa final'!$N$15="Moderado"),CONCATENATE("R",'Mapa final'!$B$15),"")</f>
        <v/>
      </c>
      <c r="S12" s="425"/>
      <c r="T12" s="421" t="str">
        <f>IF(AND('Mapa final'!$K$12="Alta",'Mapa final'!$N$12="Mayor"),CONCATENATE("R",'Mapa final'!$B$12),"")</f>
        <v/>
      </c>
      <c r="U12" s="422"/>
      <c r="V12" s="422" t="str">
        <f>IF(AND('Mapa final'!$K$15="Alta",'Mapa final'!$N$15="Mayor"),CONCATENATE("R",'Mapa final'!$B$15),"")</f>
        <v/>
      </c>
      <c r="W12" s="425"/>
      <c r="X12" s="414" t="str">
        <f>IF(AND('Mapa final'!$K$12="Alta",'Mapa final'!$N$12="Catastrófico"),CONCATENATE("R",'Mapa final'!$B$12),"")</f>
        <v/>
      </c>
      <c r="Y12" s="415"/>
      <c r="Z12" s="415" t="str">
        <f>IF(AND('Mapa final'!$K$15="Alta",'Mapa final'!$N$15="Catastrófico"),CONCATENATE("R",'Mapa final'!$B$15),"")</f>
        <v/>
      </c>
      <c r="AA12" s="417"/>
      <c r="AB12" s="18"/>
      <c r="AC12" s="440"/>
      <c r="AD12" s="441"/>
      <c r="AE12" s="441"/>
      <c r="AF12" s="441"/>
      <c r="AG12" s="441"/>
      <c r="AH12" s="442"/>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row>
    <row r="13" spans="1:86" ht="15" customHeight="1" thickBot="1" x14ac:dyDescent="0.3">
      <c r="A13" s="18"/>
      <c r="B13" s="411"/>
      <c r="C13" s="411"/>
      <c r="D13" s="411"/>
      <c r="E13" s="410"/>
      <c r="F13" s="410"/>
      <c r="G13" s="410"/>
      <c r="H13" s="406"/>
      <c r="I13" s="407"/>
      <c r="J13" s="407"/>
      <c r="K13" s="408"/>
      <c r="L13" s="406"/>
      <c r="M13" s="407"/>
      <c r="N13" s="407"/>
      <c r="O13" s="408"/>
      <c r="P13" s="423"/>
      <c r="Q13" s="424"/>
      <c r="R13" s="424"/>
      <c r="S13" s="426"/>
      <c r="T13" s="423"/>
      <c r="U13" s="424"/>
      <c r="V13" s="424"/>
      <c r="W13" s="426"/>
      <c r="X13" s="418"/>
      <c r="Y13" s="419"/>
      <c r="Z13" s="419"/>
      <c r="AA13" s="420"/>
      <c r="AB13" s="18"/>
      <c r="AC13" s="440"/>
      <c r="AD13" s="441"/>
      <c r="AE13" s="441"/>
      <c r="AF13" s="441"/>
      <c r="AG13" s="441"/>
      <c r="AH13" s="442"/>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row>
    <row r="14" spans="1:86" ht="15" customHeight="1" x14ac:dyDescent="0.25">
      <c r="A14" s="18"/>
      <c r="B14" s="411"/>
      <c r="C14" s="411"/>
      <c r="D14" s="411"/>
      <c r="E14" s="409" t="s">
        <v>85</v>
      </c>
      <c r="F14" s="410"/>
      <c r="G14" s="410"/>
      <c r="H14" s="400" t="str">
        <f>IF(AND('Mapa final'!$K$9="Media",'Mapa final'!$N$9="Leve"),CONCATENATE("R",'Mapa final'!$B$9),"")</f>
        <v/>
      </c>
      <c r="I14" s="401"/>
      <c r="J14" s="401" t="str">
        <f>IF(AND('Mapa final'!$K$11="Media",'Mapa final'!$N$11="Leve"),CONCATENATE("R",'Mapa final'!$B$11),"")</f>
        <v/>
      </c>
      <c r="K14" s="404"/>
      <c r="L14" s="400" t="str">
        <f>IF(AND('Mapa final'!$K$9="Media",'Mapa final'!$N$9="Menor"),CONCATENATE("R",'Mapa final'!$B$9),"")</f>
        <v/>
      </c>
      <c r="M14" s="401"/>
      <c r="N14" s="401" t="str">
        <f>IF(AND('Mapa final'!$K$11="Media",'Mapa final'!$N$11="Menor"),CONCATENATE("R",'Mapa final'!$B$11),"")</f>
        <v/>
      </c>
      <c r="O14" s="404"/>
      <c r="P14" s="400" t="str">
        <f>IF(AND('Mapa final'!$K$9="Media",'Mapa final'!$N$9="Moderado"),CONCATENATE("R",'Mapa final'!$B$9),"")</f>
        <v/>
      </c>
      <c r="Q14" s="401"/>
      <c r="R14" s="401"/>
      <c r="S14" s="404"/>
      <c r="T14" s="427"/>
      <c r="U14" s="428"/>
      <c r="V14" s="428"/>
      <c r="W14" s="429"/>
      <c r="X14" s="412"/>
      <c r="Y14" s="413"/>
      <c r="Z14" s="413"/>
      <c r="AA14" s="416"/>
      <c r="AB14" s="18"/>
      <c r="AC14" s="443" t="s">
        <v>66</v>
      </c>
      <c r="AD14" s="444"/>
      <c r="AE14" s="444"/>
      <c r="AF14" s="444"/>
      <c r="AG14" s="444"/>
      <c r="AH14" s="445"/>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row>
    <row r="15" spans="1:86" ht="15" customHeight="1" x14ac:dyDescent="0.25">
      <c r="A15" s="18"/>
      <c r="B15" s="411"/>
      <c r="C15" s="411"/>
      <c r="D15" s="411"/>
      <c r="E15" s="410"/>
      <c r="F15" s="410"/>
      <c r="G15" s="410"/>
      <c r="H15" s="402"/>
      <c r="I15" s="403"/>
      <c r="J15" s="403"/>
      <c r="K15" s="405"/>
      <c r="L15" s="402"/>
      <c r="M15" s="403"/>
      <c r="N15" s="403"/>
      <c r="O15" s="405"/>
      <c r="P15" s="402"/>
      <c r="Q15" s="403"/>
      <c r="R15" s="403"/>
      <c r="S15" s="405"/>
      <c r="T15" s="421"/>
      <c r="U15" s="422"/>
      <c r="V15" s="422"/>
      <c r="W15" s="425"/>
      <c r="X15" s="414"/>
      <c r="Y15" s="415"/>
      <c r="Z15" s="415"/>
      <c r="AA15" s="417"/>
      <c r="AB15" s="18"/>
      <c r="AC15" s="446"/>
      <c r="AD15" s="447"/>
      <c r="AE15" s="447"/>
      <c r="AF15" s="447"/>
      <c r="AG15" s="447"/>
      <c r="AH15" s="44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row>
    <row r="16" spans="1:86" ht="15" customHeight="1" x14ac:dyDescent="0.25">
      <c r="A16" s="18"/>
      <c r="B16" s="411"/>
      <c r="C16" s="411"/>
      <c r="D16" s="411"/>
      <c r="E16" s="410"/>
      <c r="F16" s="410"/>
      <c r="G16" s="410"/>
      <c r="H16" s="402" t="str">
        <f>IF(AND('Mapa final'!$K$12="Media",'Mapa final'!$N$12="Leve"),CONCATENATE("R",'Mapa final'!$B$12),"")</f>
        <v/>
      </c>
      <c r="I16" s="403"/>
      <c r="J16" s="403" t="str">
        <f>IF(AND('Mapa final'!$K$15="Media",'Mapa final'!$N$15="Leve"),CONCATENATE("R",'Mapa final'!$B$15),"")</f>
        <v/>
      </c>
      <c r="K16" s="405"/>
      <c r="L16" s="402" t="str">
        <f>IF(AND('Mapa final'!$K$12="Media",'Mapa final'!$N$12="Menor"),CONCATENATE("R",'Mapa final'!$B$12),"")</f>
        <v/>
      </c>
      <c r="M16" s="403"/>
      <c r="N16" s="403" t="str">
        <f>IF(AND('Mapa final'!$K$15="Media",'Mapa final'!$N$15="Menor"),CONCATENATE("R",'Mapa final'!#REF!),"")</f>
        <v/>
      </c>
      <c r="O16" s="405"/>
      <c r="P16" s="402" t="str">
        <f>IF(AND('Mapa final'!$K$12="Media",'Mapa final'!$N$12="Moderado"),CONCATENATE("R",'Mapa final'!$B$12),"")</f>
        <v/>
      </c>
      <c r="Q16" s="403"/>
      <c r="R16" s="403"/>
      <c r="S16" s="405"/>
      <c r="T16" s="421"/>
      <c r="U16" s="422"/>
      <c r="V16" s="422"/>
      <c r="W16" s="425"/>
      <c r="X16" s="414"/>
      <c r="Y16" s="415"/>
      <c r="Z16" s="415"/>
      <c r="AA16" s="417"/>
      <c r="AB16" s="18"/>
      <c r="AC16" s="446"/>
      <c r="AD16" s="447"/>
      <c r="AE16" s="447"/>
      <c r="AF16" s="447"/>
      <c r="AG16" s="447"/>
      <c r="AH16" s="44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row>
    <row r="17" spans="1:67" ht="15" customHeight="1" thickBot="1" x14ac:dyDescent="0.3">
      <c r="A17" s="18"/>
      <c r="B17" s="411"/>
      <c r="C17" s="411"/>
      <c r="D17" s="411"/>
      <c r="E17" s="410"/>
      <c r="F17" s="410"/>
      <c r="G17" s="410"/>
      <c r="H17" s="406"/>
      <c r="I17" s="407"/>
      <c r="J17" s="407"/>
      <c r="K17" s="408"/>
      <c r="L17" s="406"/>
      <c r="M17" s="407"/>
      <c r="N17" s="407"/>
      <c r="O17" s="408"/>
      <c r="P17" s="406"/>
      <c r="Q17" s="407"/>
      <c r="R17" s="407"/>
      <c r="S17" s="408"/>
      <c r="T17" s="423"/>
      <c r="U17" s="424"/>
      <c r="V17" s="424"/>
      <c r="W17" s="426"/>
      <c r="X17" s="418"/>
      <c r="Y17" s="419"/>
      <c r="Z17" s="419"/>
      <c r="AA17" s="420"/>
      <c r="AB17" s="18"/>
      <c r="AC17" s="446"/>
      <c r="AD17" s="447"/>
      <c r="AE17" s="447"/>
      <c r="AF17" s="447"/>
      <c r="AG17" s="447"/>
      <c r="AH17" s="44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row>
    <row r="18" spans="1:67" ht="15" customHeight="1" x14ac:dyDescent="0.25">
      <c r="A18" s="18"/>
      <c r="B18" s="411"/>
      <c r="C18" s="411"/>
      <c r="D18" s="411"/>
      <c r="E18" s="409" t="s">
        <v>82</v>
      </c>
      <c r="F18" s="410"/>
      <c r="G18" s="410"/>
      <c r="H18" s="394" t="str">
        <f>IF(AND('Mapa final'!$K$9="Baja",'Mapa final'!$N$9="Leve"),CONCATENATE("R",'Mapa final'!$B$9),"")</f>
        <v/>
      </c>
      <c r="I18" s="394"/>
      <c r="J18" s="394" t="str">
        <f>IF(AND('Mapa final'!$K$11="Baja",'Mapa final'!$N$11="Leve"),CONCATENATE("R",'Mapa final'!$B$11),"")</f>
        <v/>
      </c>
      <c r="K18" s="394"/>
      <c r="L18" s="400" t="str">
        <f>IF(AND('Mapa final'!$K$9="Baja",'Mapa final'!$N$9="Menor"),CONCATENATE("R",'Mapa final'!$B$9),"")</f>
        <v/>
      </c>
      <c r="M18" s="401"/>
      <c r="N18" s="401" t="str">
        <f>IF(AND('Mapa final'!$K$11="Baja",'Mapa final'!$N$11="Menor"),CONCATENATE("R",'Mapa final'!$B$11),"")</f>
        <v/>
      </c>
      <c r="O18" s="404"/>
      <c r="P18" s="400"/>
      <c r="Q18" s="401"/>
      <c r="R18" s="401" t="str">
        <f>IF(AND('Mapa final'!$K$11="Baja",'Mapa final'!$N$11="Moderado"),CONCATENATE("R",'Mapa final'!$B$11),"")</f>
        <v/>
      </c>
      <c r="S18" s="404"/>
      <c r="T18" s="427" t="str">
        <f>IF(AND('Mapa final'!$K$9="Baja",'Mapa final'!$N$9="Mayor"),CONCATENATE("R",'Mapa final'!$B$9),"")</f>
        <v/>
      </c>
      <c r="U18" s="428"/>
      <c r="V18" s="428" t="str">
        <f>IF(AND('Mapa final'!$K$11="Baja",'Mapa final'!$N$11="Mayor"),CONCATENATE("R",'Mapa final'!$B$11),"")</f>
        <v/>
      </c>
      <c r="W18" s="429"/>
      <c r="X18" s="412" t="str">
        <f>IF(AND('Mapa final'!$K$9="Baja",'Mapa final'!$N$9="Catastrófico"),CONCATENATE("R",'Mapa final'!$B$9),"")</f>
        <v/>
      </c>
      <c r="Y18" s="413"/>
      <c r="Z18" s="413" t="str">
        <f>IF(AND('Mapa final'!$K$11="Baja",'Mapa final'!$N$11="Catastrófico"),CONCATENATE("R",'Mapa final'!$B$11),"")</f>
        <v/>
      </c>
      <c r="AA18" s="416"/>
      <c r="AB18" s="18"/>
      <c r="AC18" s="449" t="s">
        <v>67</v>
      </c>
      <c r="AD18" s="450"/>
      <c r="AE18" s="450"/>
      <c r="AF18" s="450"/>
      <c r="AG18" s="450"/>
      <c r="AH18" s="451"/>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row>
    <row r="19" spans="1:67" ht="15" customHeight="1" x14ac:dyDescent="0.25">
      <c r="A19" s="18"/>
      <c r="B19" s="411"/>
      <c r="C19" s="411"/>
      <c r="D19" s="411"/>
      <c r="E19" s="410"/>
      <c r="F19" s="410"/>
      <c r="G19" s="410"/>
      <c r="H19" s="394"/>
      <c r="I19" s="394"/>
      <c r="J19" s="394"/>
      <c r="K19" s="394"/>
      <c r="L19" s="402"/>
      <c r="M19" s="403"/>
      <c r="N19" s="403"/>
      <c r="O19" s="405"/>
      <c r="P19" s="402"/>
      <c r="Q19" s="403"/>
      <c r="R19" s="403"/>
      <c r="S19" s="405"/>
      <c r="T19" s="421"/>
      <c r="U19" s="422"/>
      <c r="V19" s="422"/>
      <c r="W19" s="425"/>
      <c r="X19" s="414"/>
      <c r="Y19" s="415"/>
      <c r="Z19" s="415"/>
      <c r="AA19" s="417"/>
      <c r="AB19" s="18"/>
      <c r="AC19" s="452"/>
      <c r="AD19" s="453"/>
      <c r="AE19" s="453"/>
      <c r="AF19" s="453"/>
      <c r="AG19" s="453"/>
      <c r="AH19" s="454"/>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row>
    <row r="20" spans="1:67" ht="15" customHeight="1" x14ac:dyDescent="0.25">
      <c r="A20" s="18"/>
      <c r="B20" s="411"/>
      <c r="C20" s="411"/>
      <c r="D20" s="411"/>
      <c r="E20" s="410"/>
      <c r="F20" s="410"/>
      <c r="G20" s="410"/>
      <c r="H20" s="394" t="str">
        <f>IF(AND('Mapa final'!$K$12="Baja",'Mapa final'!$N$12="Leve"),CONCATENATE("R",'Mapa final'!$B$12),"")</f>
        <v/>
      </c>
      <c r="I20" s="394"/>
      <c r="J20" s="394" t="str">
        <f>IF(AND('Mapa final'!$K$15="Baja",'Mapa final'!$N$15="Leve"),CONCATENATE("R",'Mapa final'!$B$15),"")</f>
        <v/>
      </c>
      <c r="K20" s="394"/>
      <c r="L20" s="402" t="str">
        <f>IF(AND('Mapa final'!$K$12="Baja",'Mapa final'!$N$12="Menor"),CONCATENATE("R",'Mapa final'!$B$12),"")</f>
        <v/>
      </c>
      <c r="M20" s="403"/>
      <c r="N20" s="403" t="str">
        <f>IF(AND('Mapa final'!$K$15="Baja",'Mapa final'!$N$15="Menor"),CONCATENATE("R",'Mapa final'!$B$15),"")</f>
        <v/>
      </c>
      <c r="O20" s="405"/>
      <c r="P20" s="402"/>
      <c r="Q20" s="403"/>
      <c r="R20" s="403" t="str">
        <f>IF(AND('Mapa final'!$K$15="Baja",'Mapa final'!$N$15="Moderado"),CONCATENATE("R",'Mapa final'!$B$15),"")</f>
        <v/>
      </c>
      <c r="S20" s="405"/>
      <c r="T20" s="421" t="str">
        <f>IF(AND('Mapa final'!$K$12="Baja",'Mapa final'!$N$12="Mayor"),CONCATENATE("R",'Mapa final'!$B$12),"")</f>
        <v/>
      </c>
      <c r="U20" s="422"/>
      <c r="V20" s="422" t="str">
        <f>IF(AND('Mapa final'!$K$15="Baja",'Mapa final'!$N$15="Mayor"),CONCATENATE("R",'Mapa final'!$B$15),"")</f>
        <v/>
      </c>
      <c r="W20" s="425"/>
      <c r="X20" s="414" t="str">
        <f>IF(AND('Mapa final'!$K$12="Baja",'Mapa final'!$N$12="Catastrófico"),CONCATENATE("R",'Mapa final'!$B$12),"")</f>
        <v/>
      </c>
      <c r="Y20" s="415"/>
      <c r="Z20" s="415" t="str">
        <f>IF(AND('Mapa final'!$K$15="Baja",'Mapa final'!$N$15="Catastrófico"),CONCATENATE("R",'Mapa final'!$B$15),"")</f>
        <v/>
      </c>
      <c r="AA20" s="417"/>
      <c r="AB20" s="18"/>
      <c r="AC20" s="452"/>
      <c r="AD20" s="453"/>
      <c r="AE20" s="453"/>
      <c r="AF20" s="453"/>
      <c r="AG20" s="453"/>
      <c r="AH20" s="454"/>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row>
    <row r="21" spans="1:67" ht="15" customHeight="1" x14ac:dyDescent="0.25">
      <c r="A21" s="18"/>
      <c r="B21" s="411"/>
      <c r="C21" s="411"/>
      <c r="D21" s="411"/>
      <c r="E21" s="410"/>
      <c r="F21" s="410"/>
      <c r="G21" s="410"/>
      <c r="H21" s="394"/>
      <c r="I21" s="394"/>
      <c r="J21" s="394"/>
      <c r="K21" s="394"/>
      <c r="L21" s="406"/>
      <c r="M21" s="407"/>
      <c r="N21" s="407"/>
      <c r="O21" s="408"/>
      <c r="P21" s="406"/>
      <c r="Q21" s="407"/>
      <c r="R21" s="407"/>
      <c r="S21" s="408"/>
      <c r="T21" s="423"/>
      <c r="U21" s="424"/>
      <c r="V21" s="424"/>
      <c r="W21" s="426"/>
      <c r="X21" s="418"/>
      <c r="Y21" s="419"/>
      <c r="Z21" s="419"/>
      <c r="AA21" s="420"/>
      <c r="AB21" s="18"/>
      <c r="AC21" s="452"/>
      <c r="AD21" s="453"/>
      <c r="AE21" s="453"/>
      <c r="AF21" s="453"/>
      <c r="AG21" s="453"/>
      <c r="AH21" s="454"/>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row>
    <row r="22" spans="1:67" ht="15" customHeight="1" x14ac:dyDescent="0.25">
      <c r="A22" s="18"/>
      <c r="B22" s="411"/>
      <c r="C22" s="411"/>
      <c r="D22" s="411"/>
      <c r="E22" s="409" t="s">
        <v>81</v>
      </c>
      <c r="F22" s="410"/>
      <c r="G22" s="410"/>
      <c r="H22" s="391" t="str">
        <f>IF(AND('Mapa final'!$K$9="Muy Baja",'Mapa final'!$N$9="Leve"),CONCATENATE("R",'Mapa final'!$B$9),"")</f>
        <v/>
      </c>
      <c r="I22" s="392"/>
      <c r="J22" s="392" t="str">
        <f>IF(AND('Mapa final'!$K$11="Muy Baja",'Mapa final'!$N$11="Leve"),CONCATENATE("R",'Mapa final'!$B$11),"")</f>
        <v/>
      </c>
      <c r="K22" s="395"/>
      <c r="L22" s="391" t="str">
        <f>IF(AND('Mapa final'!$K$9="Muy Baja",'Mapa final'!$N$9="Menor"),CONCATENATE("R",'Mapa final'!$B$9),"")</f>
        <v/>
      </c>
      <c r="M22" s="392"/>
      <c r="N22" s="392" t="str">
        <f>IF(AND('Mapa final'!$K$11="Muy Baja",'Mapa final'!$N$11="Menor"),CONCATENATE("R",'Mapa final'!$B$11),"")</f>
        <v/>
      </c>
      <c r="O22" s="395"/>
      <c r="P22" s="400"/>
      <c r="Q22" s="401"/>
      <c r="R22" s="401" t="str">
        <f>IF(AND('Mapa final'!$K$11="Muy Baja",'Mapa final'!$N$11="Moderado"),CONCATENATE("R",'Mapa final'!$B$11),"")</f>
        <v/>
      </c>
      <c r="S22" s="404"/>
      <c r="T22" s="427" t="str">
        <f>IF(AND('Mapa final'!$K$9="Muy Baja",'Mapa final'!$N$9="Mayor"),CONCATENATE("R",'Mapa final'!$B$9),"")</f>
        <v/>
      </c>
      <c r="U22" s="428"/>
      <c r="V22" s="428" t="str">
        <f>IF(AND('Mapa final'!$K$11="Muy Baja",'Mapa final'!$N$11="Mayor"),CONCATENATE("R",'Mapa final'!$B$11),"")</f>
        <v/>
      </c>
      <c r="W22" s="429"/>
      <c r="X22" s="412" t="str">
        <f>IF(AND('Mapa final'!$K$9="Muy Baja",'Mapa final'!$N$9="Catastrófico"),CONCATENATE("R",'Mapa final'!$B$9),"")</f>
        <v/>
      </c>
      <c r="Y22" s="413"/>
      <c r="Z22" s="413" t="str">
        <f>IF(AND('Mapa final'!$K$11="Muy Baja",'Mapa final'!$N$11="Catastrófico"),CONCATENATE("R",'Mapa final'!$B$11),"")</f>
        <v/>
      </c>
      <c r="AA22" s="416"/>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row>
    <row r="23" spans="1:67" ht="15" customHeight="1" x14ac:dyDescent="0.25">
      <c r="A23" s="18"/>
      <c r="B23" s="411"/>
      <c r="C23" s="411"/>
      <c r="D23" s="411"/>
      <c r="E23" s="410"/>
      <c r="F23" s="410"/>
      <c r="G23" s="410"/>
      <c r="H23" s="393"/>
      <c r="I23" s="394"/>
      <c r="J23" s="394"/>
      <c r="K23" s="396"/>
      <c r="L23" s="393"/>
      <c r="M23" s="394"/>
      <c r="N23" s="394"/>
      <c r="O23" s="396"/>
      <c r="P23" s="402"/>
      <c r="Q23" s="403"/>
      <c r="R23" s="403"/>
      <c r="S23" s="405"/>
      <c r="T23" s="421"/>
      <c r="U23" s="422"/>
      <c r="V23" s="422"/>
      <c r="W23" s="425"/>
      <c r="X23" s="414"/>
      <c r="Y23" s="415"/>
      <c r="Z23" s="415"/>
      <c r="AA23" s="417"/>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row>
    <row r="24" spans="1:67" ht="15" customHeight="1" x14ac:dyDescent="0.25">
      <c r="A24" s="18"/>
      <c r="B24" s="411"/>
      <c r="C24" s="411"/>
      <c r="D24" s="411"/>
      <c r="E24" s="410"/>
      <c r="F24" s="410"/>
      <c r="G24" s="410"/>
      <c r="H24" s="393" t="str">
        <f>IF(AND('Mapa final'!$K$12="Muy Baja",'Mapa final'!$N$12="Leve"),CONCATENATE("R",'Mapa final'!$B$12),"")</f>
        <v/>
      </c>
      <c r="I24" s="394"/>
      <c r="J24" s="394" t="str">
        <f>IF(AND('Mapa final'!$K$15="Muy Baja",'Mapa final'!$N$15="Leve"),CONCATENATE("R",'Mapa final'!$B$15),"")</f>
        <v/>
      </c>
      <c r="K24" s="396"/>
      <c r="L24" s="393" t="str">
        <f>IF(AND('Mapa final'!$K$12="Muy Baja",'Mapa final'!$N$12="Menor"),CONCATENATE("R",'Mapa final'!$B$12),"")</f>
        <v/>
      </c>
      <c r="M24" s="394"/>
      <c r="N24" s="394" t="str">
        <f>IF(AND('Mapa final'!$K$15="Muy Baja",'Mapa final'!$N$15="Menor"),CONCATENATE("R",'Mapa final'!$B$15),"")</f>
        <v/>
      </c>
      <c r="O24" s="396"/>
      <c r="P24" s="402"/>
      <c r="Q24" s="403"/>
      <c r="R24" s="403" t="str">
        <f>IF(AND('Mapa final'!$K$15="Muy Baja",'Mapa final'!$N$15="Moderado"),CONCATENATE("R",'Mapa final'!$B$15),"")</f>
        <v/>
      </c>
      <c r="S24" s="405"/>
      <c r="T24" s="421" t="str">
        <f>IF(AND('Mapa final'!$K$12="Muy Baja",'Mapa final'!$N$12="Mayor"),CONCATENATE("R",'Mapa final'!$B$12),"")</f>
        <v/>
      </c>
      <c r="U24" s="422"/>
      <c r="V24" s="422" t="str">
        <f>IF(AND('Mapa final'!$K$15="Muy Baja",'Mapa final'!$N$15="Mayor"),CONCATENATE("R",'Mapa final'!$B$15),"")</f>
        <v/>
      </c>
      <c r="W24" s="425"/>
      <c r="X24" s="414" t="str">
        <f>IF(AND('Mapa final'!$K$12="Muy Baja",'Mapa final'!$N$12="Catastrófico"),CONCATENATE("R",'Mapa final'!$B$12),"")</f>
        <v/>
      </c>
      <c r="Y24" s="415"/>
      <c r="Z24" s="415" t="str">
        <f>IF(AND('Mapa final'!$K$15="Muy Baja",'Mapa final'!$N$15="Catastrófico"),CONCATENATE("R",'Mapa final'!$B$15),"")</f>
        <v/>
      </c>
      <c r="AA24" s="417"/>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row>
    <row r="25" spans="1:67" ht="15" customHeight="1" x14ac:dyDescent="0.25">
      <c r="A25" s="18"/>
      <c r="B25" s="411"/>
      <c r="C25" s="411"/>
      <c r="D25" s="411"/>
      <c r="E25" s="410"/>
      <c r="F25" s="410"/>
      <c r="G25" s="410"/>
      <c r="H25" s="397"/>
      <c r="I25" s="398"/>
      <c r="J25" s="398"/>
      <c r="K25" s="399"/>
      <c r="L25" s="397"/>
      <c r="M25" s="398"/>
      <c r="N25" s="398"/>
      <c r="O25" s="399"/>
      <c r="P25" s="406"/>
      <c r="Q25" s="407"/>
      <c r="R25" s="407"/>
      <c r="S25" s="408"/>
      <c r="T25" s="423"/>
      <c r="U25" s="424"/>
      <c r="V25" s="424"/>
      <c r="W25" s="426"/>
      <c r="X25" s="418"/>
      <c r="Y25" s="419"/>
      <c r="Z25" s="419"/>
      <c r="AA25" s="420"/>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row>
    <row r="26" spans="1:67" x14ac:dyDescent="0.25">
      <c r="A26" s="18"/>
      <c r="B26" s="18"/>
      <c r="C26" s="18"/>
      <c r="D26" s="18"/>
      <c r="E26" s="18"/>
      <c r="F26" s="18"/>
      <c r="G26" s="18"/>
      <c r="H26" s="455" t="s">
        <v>80</v>
      </c>
      <c r="I26" s="456"/>
      <c r="J26" s="456"/>
      <c r="K26" s="456"/>
      <c r="L26" s="455" t="s">
        <v>79</v>
      </c>
      <c r="M26" s="456"/>
      <c r="N26" s="456"/>
      <c r="O26" s="456"/>
      <c r="P26" s="455" t="s">
        <v>78</v>
      </c>
      <c r="Q26" s="456"/>
      <c r="R26" s="456"/>
      <c r="S26" s="456"/>
      <c r="T26" s="455" t="s">
        <v>77</v>
      </c>
      <c r="U26" s="455"/>
      <c r="V26" s="456"/>
      <c r="W26" s="456"/>
      <c r="X26" s="457" t="s">
        <v>76</v>
      </c>
      <c r="Y26" s="458"/>
      <c r="Z26" s="458"/>
      <c r="AA26" s="45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row>
    <row r="27" spans="1:67" x14ac:dyDescent="0.25">
      <c r="A27" s="18"/>
      <c r="B27" s="18"/>
      <c r="C27" s="18"/>
      <c r="D27" s="18"/>
      <c r="E27" s="18"/>
      <c r="F27" s="18"/>
      <c r="G27" s="18"/>
      <c r="H27" s="456"/>
      <c r="I27" s="456"/>
      <c r="J27" s="456"/>
      <c r="K27" s="456"/>
      <c r="L27" s="456"/>
      <c r="M27" s="456"/>
      <c r="N27" s="456"/>
      <c r="O27" s="456"/>
      <c r="P27" s="456"/>
      <c r="Q27" s="456"/>
      <c r="R27" s="456"/>
      <c r="S27" s="456"/>
      <c r="T27" s="456"/>
      <c r="U27" s="456"/>
      <c r="V27" s="456"/>
      <c r="W27" s="456"/>
      <c r="X27" s="458"/>
      <c r="Y27" s="458"/>
      <c r="Z27" s="458"/>
      <c r="AA27" s="45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row>
    <row r="28" spans="1:67" x14ac:dyDescent="0.25">
      <c r="A28" s="18"/>
      <c r="B28" s="18"/>
      <c r="C28" s="18"/>
      <c r="D28" s="18"/>
      <c r="E28" s="18"/>
      <c r="F28" s="18"/>
      <c r="G28" s="18"/>
      <c r="H28" s="456"/>
      <c r="I28" s="456"/>
      <c r="J28" s="456"/>
      <c r="K28" s="456"/>
      <c r="L28" s="456"/>
      <c r="M28" s="456"/>
      <c r="N28" s="456"/>
      <c r="O28" s="456"/>
      <c r="P28" s="456"/>
      <c r="Q28" s="456"/>
      <c r="R28" s="456"/>
      <c r="S28" s="456"/>
      <c r="T28" s="456"/>
      <c r="U28" s="456"/>
      <c r="V28" s="456"/>
      <c r="W28" s="456"/>
      <c r="X28" s="458"/>
      <c r="Y28" s="458"/>
      <c r="Z28" s="458"/>
      <c r="AA28" s="45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row>
    <row r="29" spans="1:67" x14ac:dyDescent="0.25">
      <c r="A29" s="18"/>
      <c r="B29" s="18"/>
      <c r="C29" s="18"/>
      <c r="D29" s="18"/>
      <c r="E29" s="18"/>
      <c r="F29" s="18"/>
      <c r="G29" s="18"/>
      <c r="H29" s="456"/>
      <c r="I29" s="456"/>
      <c r="J29" s="456"/>
      <c r="K29" s="456"/>
      <c r="L29" s="456"/>
      <c r="M29" s="456"/>
      <c r="N29" s="456"/>
      <c r="O29" s="456"/>
      <c r="P29" s="456"/>
      <c r="Q29" s="456"/>
      <c r="R29" s="456"/>
      <c r="S29" s="456"/>
      <c r="T29" s="456"/>
      <c r="U29" s="456"/>
      <c r="V29" s="456"/>
      <c r="W29" s="456"/>
      <c r="X29" s="458"/>
      <c r="Y29" s="458"/>
      <c r="Z29" s="458"/>
      <c r="AA29" s="45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row>
    <row r="30" spans="1:67" x14ac:dyDescent="0.25">
      <c r="A30" s="18"/>
      <c r="B30" s="18"/>
      <c r="C30" s="18"/>
      <c r="D30" s="18"/>
      <c r="E30" s="18"/>
      <c r="F30" s="18"/>
      <c r="G30" s="18"/>
      <c r="H30" s="456"/>
      <c r="I30" s="456"/>
      <c r="J30" s="456"/>
      <c r="K30" s="456"/>
      <c r="L30" s="456"/>
      <c r="M30" s="456"/>
      <c r="N30" s="456"/>
      <c r="O30" s="456"/>
      <c r="P30" s="456"/>
      <c r="Q30" s="456"/>
      <c r="R30" s="456"/>
      <c r="S30" s="456"/>
      <c r="T30" s="456"/>
      <c r="U30" s="456"/>
      <c r="V30" s="456"/>
      <c r="W30" s="456"/>
      <c r="X30" s="458"/>
      <c r="Y30" s="458"/>
      <c r="Z30" s="458"/>
      <c r="AA30" s="45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row>
    <row r="31" spans="1:67" x14ac:dyDescent="0.25">
      <c r="A31" s="18"/>
      <c r="B31" s="18"/>
      <c r="C31" s="18"/>
      <c r="D31" s="18"/>
      <c r="E31" s="18"/>
      <c r="F31" s="18"/>
      <c r="G31" s="18"/>
      <c r="H31" s="456"/>
      <c r="I31" s="456"/>
      <c r="J31" s="456"/>
      <c r="K31" s="456"/>
      <c r="L31" s="456"/>
      <c r="M31" s="456"/>
      <c r="N31" s="456"/>
      <c r="O31" s="456"/>
      <c r="P31" s="456"/>
      <c r="Q31" s="456"/>
      <c r="R31" s="456"/>
      <c r="S31" s="456"/>
      <c r="T31" s="456"/>
      <c r="U31" s="456"/>
      <c r="V31" s="456"/>
      <c r="W31" s="456"/>
      <c r="X31" s="458"/>
      <c r="Y31" s="458"/>
      <c r="Z31" s="458"/>
      <c r="AA31" s="45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row>
    <row r="32" spans="1:67"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row>
    <row r="33" spans="1:67" ht="15" customHeight="1" x14ac:dyDescent="0.25">
      <c r="A33" s="18"/>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row>
    <row r="34" spans="1:67" ht="15" customHeight="1" x14ac:dyDescent="0.25">
      <c r="A34" s="18"/>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row>
    <row r="35" spans="1:67"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row>
    <row r="36" spans="1:67"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row>
    <row r="37" spans="1:67"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row>
    <row r="38" spans="1:67"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row>
    <row r="39" spans="1:67"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row>
    <row r="40" spans="1:67"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row>
    <row r="41" spans="1:67"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row>
    <row r="42" spans="1:67"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row>
    <row r="43" spans="1:67"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row>
    <row r="44" spans="1:67"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row>
    <row r="45" spans="1:67"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row>
    <row r="46" spans="1:67"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row>
    <row r="47" spans="1:67"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row>
    <row r="48" spans="1:67"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row>
    <row r="49" spans="1:67"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row>
    <row r="50" spans="1:67"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row>
    <row r="51" spans="1:67"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row>
    <row r="52" spans="1:67"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row>
    <row r="53" spans="1:67"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row>
    <row r="54" spans="1:67"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row>
    <row r="55" spans="1:67"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row>
    <row r="56" spans="1:67"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row>
    <row r="57" spans="1:67"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row>
    <row r="58" spans="1:67"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row>
    <row r="59" spans="1:67"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row>
    <row r="60" spans="1:67"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row>
    <row r="61" spans="1:67"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row>
    <row r="62" spans="1:67"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row>
    <row r="63" spans="1:67"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row>
    <row r="64" spans="1:67"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row>
    <row r="65" spans="1:5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row>
    <row r="66" spans="1:5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row>
    <row r="67" spans="1:5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row>
    <row r="68" spans="1:5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row>
    <row r="69" spans="1:5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row>
    <row r="70" spans="1:5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row>
    <row r="71" spans="1:5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row>
    <row r="72" spans="1:5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row>
    <row r="73" spans="1:5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row>
    <row r="74" spans="1:5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row>
    <row r="75" spans="1:5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row>
    <row r="76" spans="1:5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row>
    <row r="77" spans="1:5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row>
    <row r="78" spans="1:5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row>
    <row r="79" spans="1:5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row>
    <row r="80" spans="1:5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row>
    <row r="81" spans="1:5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row>
    <row r="82" spans="1:5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row>
    <row r="83" spans="1:5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row>
    <row r="84" spans="1:5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row>
    <row r="85" spans="1:5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row>
    <row r="86" spans="1:5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row>
    <row r="87" spans="1:5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row>
    <row r="88" spans="1:5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row>
    <row r="89" spans="1:5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row>
    <row r="90" spans="1:5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row>
    <row r="91" spans="1:5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row>
    <row r="92" spans="1:5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row>
    <row r="93" spans="1:5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row>
    <row r="94" spans="1:5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row>
    <row r="95" spans="1:5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row>
    <row r="96" spans="1:5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row>
    <row r="97" spans="1:5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row>
    <row r="98" spans="1:5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row>
    <row r="99" spans="1:5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row>
    <row r="100" spans="1:5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row>
    <row r="101" spans="1:5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row>
    <row r="102" spans="1:51" x14ac:dyDescent="0.25">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row>
    <row r="103" spans="1:51" x14ac:dyDescent="0.25">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row>
    <row r="104" spans="1:51" x14ac:dyDescent="0.25">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row>
    <row r="105" spans="1:51" x14ac:dyDescent="0.25">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row>
    <row r="106" spans="1:51" x14ac:dyDescent="0.25">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row>
    <row r="107" spans="1:51" x14ac:dyDescent="0.25">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row>
    <row r="108" spans="1:51" x14ac:dyDescent="0.25">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row>
    <row r="109" spans="1:51" x14ac:dyDescent="0.25">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row>
    <row r="110" spans="1:51" x14ac:dyDescent="0.25">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row>
    <row r="111" spans="1:51" x14ac:dyDescent="0.25">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row>
    <row r="112" spans="1:51" x14ac:dyDescent="0.25">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row>
    <row r="113" spans="2:51" x14ac:dyDescent="0.25">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row>
    <row r="114" spans="2:51" x14ac:dyDescent="0.25">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row>
    <row r="115" spans="2:51" x14ac:dyDescent="0.25">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row>
    <row r="116" spans="2:51" x14ac:dyDescent="0.25">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row>
    <row r="117" spans="2:51" x14ac:dyDescent="0.25">
      <c r="B117" s="18"/>
      <c r="C117" s="18"/>
      <c r="D117" s="18"/>
      <c r="E117" s="18"/>
      <c r="F117" s="18"/>
      <c r="G117" s="18"/>
    </row>
    <row r="118" spans="2:51" x14ac:dyDescent="0.25">
      <c r="B118" s="18"/>
      <c r="C118" s="18"/>
      <c r="D118" s="18"/>
      <c r="E118" s="18"/>
      <c r="F118" s="18"/>
      <c r="G118" s="18"/>
    </row>
    <row r="119" spans="2:51" x14ac:dyDescent="0.25">
      <c r="B119" s="18"/>
      <c r="C119" s="18"/>
      <c r="D119" s="18"/>
      <c r="E119" s="18"/>
      <c r="F119" s="18"/>
      <c r="G119" s="18"/>
    </row>
    <row r="120" spans="2:51" x14ac:dyDescent="0.25">
      <c r="B120" s="18"/>
      <c r="C120" s="18"/>
      <c r="D120" s="18"/>
      <c r="E120" s="18"/>
      <c r="F120" s="18"/>
      <c r="G120" s="18"/>
    </row>
  </sheetData>
  <mergeCells count="117">
    <mergeCell ref="AC6:AH9"/>
    <mergeCell ref="AC10:AH13"/>
    <mergeCell ref="AC14:AH17"/>
    <mergeCell ref="AC18:AH21"/>
    <mergeCell ref="E14:G17"/>
    <mergeCell ref="E22:G25"/>
    <mergeCell ref="H26:K31"/>
    <mergeCell ref="L26:O31"/>
    <mergeCell ref="P26:S31"/>
    <mergeCell ref="P6:Q7"/>
    <mergeCell ref="R6:S7"/>
    <mergeCell ref="P8:Q9"/>
    <mergeCell ref="R8:S9"/>
    <mergeCell ref="N6:O7"/>
    <mergeCell ref="T26:W31"/>
    <mergeCell ref="X26:AA31"/>
    <mergeCell ref="L6:M7"/>
    <mergeCell ref="J6:K7"/>
    <mergeCell ref="J8:K9"/>
    <mergeCell ref="H8:I9"/>
    <mergeCell ref="E18:G21"/>
    <mergeCell ref="L8:M9"/>
    <mergeCell ref="N8:O9"/>
    <mergeCell ref="P10:Q11"/>
    <mergeCell ref="R10:S11"/>
    <mergeCell ref="P12:Q13"/>
    <mergeCell ref="R12:S13"/>
    <mergeCell ref="T8:U9"/>
    <mergeCell ref="V8:W9"/>
    <mergeCell ref="T6:U7"/>
    <mergeCell ref="V6:W7"/>
    <mergeCell ref="H2:AA4"/>
    <mergeCell ref="H6:I7"/>
    <mergeCell ref="X10:Y11"/>
    <mergeCell ref="Z10:AA11"/>
    <mergeCell ref="X12:Y13"/>
    <mergeCell ref="Z12:AA13"/>
    <mergeCell ref="X6:Y7"/>
    <mergeCell ref="Z6:AA7"/>
    <mergeCell ref="X8:Y9"/>
    <mergeCell ref="Z8:AA9"/>
    <mergeCell ref="T10:U11"/>
    <mergeCell ref="V10:W11"/>
    <mergeCell ref="T12:U13"/>
    <mergeCell ref="V12:W13"/>
    <mergeCell ref="T24:U25"/>
    <mergeCell ref="V24:W25"/>
    <mergeCell ref="T18:U19"/>
    <mergeCell ref="V18:W19"/>
    <mergeCell ref="T20:U21"/>
    <mergeCell ref="V20:W21"/>
    <mergeCell ref="T14:U15"/>
    <mergeCell ref="V14:W15"/>
    <mergeCell ref="T16:U17"/>
    <mergeCell ref="V16:W17"/>
    <mergeCell ref="T22:U23"/>
    <mergeCell ref="V22:W23"/>
    <mergeCell ref="X22:Y23"/>
    <mergeCell ref="Z22:AA23"/>
    <mergeCell ref="X24:Y25"/>
    <mergeCell ref="Z24:AA25"/>
    <mergeCell ref="X18:Y19"/>
    <mergeCell ref="Z18:AA19"/>
    <mergeCell ref="X20:Y21"/>
    <mergeCell ref="Z20:AA21"/>
    <mergeCell ref="X14:Y15"/>
    <mergeCell ref="Z14:AA15"/>
    <mergeCell ref="X16:Y17"/>
    <mergeCell ref="Z16:AA17"/>
    <mergeCell ref="P14:Q15"/>
    <mergeCell ref="R14:S15"/>
    <mergeCell ref="P16:Q17"/>
    <mergeCell ref="R16:S17"/>
    <mergeCell ref="L14:M15"/>
    <mergeCell ref="N14:O15"/>
    <mergeCell ref="L16:M17"/>
    <mergeCell ref="N16:O17"/>
    <mergeCell ref="H14:I15"/>
    <mergeCell ref="J14:K15"/>
    <mergeCell ref="H16:I17"/>
    <mergeCell ref="J16:K17"/>
    <mergeCell ref="P22:Q23"/>
    <mergeCell ref="R22:S23"/>
    <mergeCell ref="P24:Q25"/>
    <mergeCell ref="R24:S25"/>
    <mergeCell ref="L18:M19"/>
    <mergeCell ref="N18:O19"/>
    <mergeCell ref="L20:M21"/>
    <mergeCell ref="N20:O21"/>
    <mergeCell ref="P18:Q19"/>
    <mergeCell ref="R18:S19"/>
    <mergeCell ref="P20:Q21"/>
    <mergeCell ref="R20:S21"/>
    <mergeCell ref="B2:G4"/>
    <mergeCell ref="L22:M23"/>
    <mergeCell ref="N22:O23"/>
    <mergeCell ref="L24:M25"/>
    <mergeCell ref="N24:O25"/>
    <mergeCell ref="H22:I23"/>
    <mergeCell ref="J22:K23"/>
    <mergeCell ref="H24:I25"/>
    <mergeCell ref="J24:K25"/>
    <mergeCell ref="H18:I19"/>
    <mergeCell ref="J18:K19"/>
    <mergeCell ref="H20:I21"/>
    <mergeCell ref="J20:K21"/>
    <mergeCell ref="L10:M11"/>
    <mergeCell ref="N10:O11"/>
    <mergeCell ref="L12:M13"/>
    <mergeCell ref="N12:O13"/>
    <mergeCell ref="H10:I11"/>
    <mergeCell ref="J10:K11"/>
    <mergeCell ref="H12:I13"/>
    <mergeCell ref="J12:K13"/>
    <mergeCell ref="E6:G9"/>
    <mergeCell ref="E10:G13"/>
    <mergeCell ref="B6:D2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BV217"/>
  <sheetViews>
    <sheetView zoomScale="55" zoomScaleNormal="55" workbookViewId="0">
      <selection activeCell="K25" sqref="K25"/>
    </sheetView>
  </sheetViews>
  <sheetFormatPr baseColWidth="10" defaultRowHeight="15" x14ac:dyDescent="0.25"/>
  <cols>
    <col min="2" max="15" width="5.7109375" customWidth="1"/>
    <col min="16" max="16" width="6.7109375" customWidth="1"/>
    <col min="17" max="17" width="9.140625" customWidth="1"/>
    <col min="18" max="18" width="8.42578125" customWidth="1"/>
    <col min="19" max="19" width="5.7109375" customWidth="1"/>
    <col min="20" max="20" width="6.140625" customWidth="1"/>
    <col min="21" max="22" width="5.7109375" customWidth="1"/>
    <col min="24" max="29" width="5.7109375" customWidth="1"/>
  </cols>
  <sheetData>
    <row r="1" spans="1:74" x14ac:dyDescent="0.2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row>
    <row r="2" spans="1:74" ht="18" customHeight="1" x14ac:dyDescent="0.25">
      <c r="A2" s="18"/>
      <c r="B2" s="473" t="s">
        <v>108</v>
      </c>
      <c r="C2" s="474"/>
      <c r="D2" s="474"/>
      <c r="E2" s="474"/>
      <c r="F2" s="474"/>
      <c r="G2" s="474"/>
      <c r="H2" s="430" t="s">
        <v>1</v>
      </c>
      <c r="I2" s="430"/>
      <c r="J2" s="430"/>
      <c r="K2" s="430"/>
      <c r="L2" s="430"/>
      <c r="M2" s="430"/>
      <c r="N2" s="430"/>
      <c r="O2" s="430"/>
      <c r="P2" s="430"/>
      <c r="Q2" s="430"/>
      <c r="R2" s="430"/>
      <c r="S2" s="430"/>
      <c r="T2" s="430"/>
      <c r="U2" s="430"/>
      <c r="V2" s="430"/>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row>
    <row r="3" spans="1:74" ht="18.75" customHeight="1" x14ac:dyDescent="0.25">
      <c r="A3" s="18"/>
      <c r="B3" s="474"/>
      <c r="C3" s="474"/>
      <c r="D3" s="474"/>
      <c r="E3" s="474"/>
      <c r="F3" s="474"/>
      <c r="G3" s="474"/>
      <c r="H3" s="430"/>
      <c r="I3" s="430"/>
      <c r="J3" s="430"/>
      <c r="K3" s="430"/>
      <c r="L3" s="430"/>
      <c r="M3" s="430"/>
      <c r="N3" s="430"/>
      <c r="O3" s="430"/>
      <c r="P3" s="430"/>
      <c r="Q3" s="430"/>
      <c r="R3" s="430"/>
      <c r="S3" s="430"/>
      <c r="T3" s="430"/>
      <c r="U3" s="430"/>
      <c r="V3" s="430"/>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row>
    <row r="4" spans="1:74" ht="15" customHeight="1" x14ac:dyDescent="0.25">
      <c r="A4" s="18"/>
      <c r="B4" s="474"/>
      <c r="C4" s="474"/>
      <c r="D4" s="474"/>
      <c r="E4" s="474"/>
      <c r="F4" s="474"/>
      <c r="G4" s="474"/>
      <c r="H4" s="430"/>
      <c r="I4" s="430"/>
      <c r="J4" s="430"/>
      <c r="K4" s="430"/>
      <c r="L4" s="430"/>
      <c r="M4" s="430"/>
      <c r="N4" s="430"/>
      <c r="O4" s="430"/>
      <c r="P4" s="430"/>
      <c r="Q4" s="430"/>
      <c r="R4" s="430"/>
      <c r="S4" s="430"/>
      <c r="T4" s="430"/>
      <c r="U4" s="430"/>
      <c r="V4" s="430"/>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row>
    <row r="5" spans="1:74" ht="15.75" thickBot="1" x14ac:dyDescent="0.3">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row>
    <row r="6" spans="1:74" ht="15" customHeight="1" x14ac:dyDescent="0.25">
      <c r="A6" s="18"/>
      <c r="B6" s="411" t="s">
        <v>2</v>
      </c>
      <c r="C6" s="411"/>
      <c r="D6" s="411"/>
      <c r="E6" s="459" t="s">
        <v>84</v>
      </c>
      <c r="F6" s="460"/>
      <c r="G6" s="460"/>
      <c r="H6" s="64"/>
      <c r="I6" s="65"/>
      <c r="J6" s="66"/>
      <c r="K6" s="64"/>
      <c r="L6" s="65"/>
      <c r="M6" s="66"/>
      <c r="N6" s="64"/>
      <c r="O6" s="65"/>
      <c r="P6" s="66"/>
      <c r="Q6" s="64"/>
      <c r="R6" s="65"/>
      <c r="S6" s="66"/>
      <c r="T6" s="72"/>
      <c r="U6" s="73"/>
      <c r="V6" s="74"/>
      <c r="W6" s="18"/>
      <c r="X6" s="467" t="s">
        <v>64</v>
      </c>
      <c r="Y6" s="468"/>
      <c r="Z6" s="468"/>
      <c r="AA6" s="468"/>
      <c r="AB6" s="468"/>
      <c r="AC6" s="469"/>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row>
    <row r="7" spans="1:74" ht="15" customHeight="1" x14ac:dyDescent="0.25">
      <c r="A7" s="18"/>
      <c r="B7" s="411"/>
      <c r="C7" s="411"/>
      <c r="D7" s="411"/>
      <c r="E7" s="460"/>
      <c r="F7" s="460"/>
      <c r="G7" s="460"/>
      <c r="H7" s="67"/>
      <c r="I7" s="14"/>
      <c r="J7" s="68"/>
      <c r="K7" s="67"/>
      <c r="L7" s="14"/>
      <c r="M7" s="68"/>
      <c r="N7" s="67"/>
      <c r="O7" s="14"/>
      <c r="P7" s="68"/>
      <c r="Q7" s="67"/>
      <c r="R7" s="14"/>
      <c r="S7" s="68"/>
      <c r="T7" s="75"/>
      <c r="U7" s="15"/>
      <c r="V7" s="76"/>
      <c r="W7" s="18"/>
      <c r="X7" s="470"/>
      <c r="Y7" s="471"/>
      <c r="Z7" s="471"/>
      <c r="AA7" s="471"/>
      <c r="AB7" s="471"/>
      <c r="AC7" s="472"/>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row>
    <row r="8" spans="1:74" ht="15" customHeight="1" x14ac:dyDescent="0.25">
      <c r="A8" s="18"/>
      <c r="B8" s="411"/>
      <c r="C8" s="411"/>
      <c r="D8" s="411"/>
      <c r="E8" s="460"/>
      <c r="F8" s="460"/>
      <c r="G8" s="460"/>
      <c r="H8" s="67"/>
      <c r="I8" s="14"/>
      <c r="J8" s="68"/>
      <c r="K8" s="67"/>
      <c r="L8" s="14"/>
      <c r="M8" s="68"/>
      <c r="N8" s="67"/>
      <c r="O8" s="14"/>
      <c r="P8" s="68"/>
      <c r="Q8" s="67"/>
      <c r="R8" s="14"/>
      <c r="S8" s="68"/>
      <c r="T8" s="75"/>
      <c r="U8" s="15"/>
      <c r="V8" s="76"/>
      <c r="W8" s="18"/>
      <c r="X8" s="470"/>
      <c r="Y8" s="471"/>
      <c r="Z8" s="471"/>
      <c r="AA8" s="471"/>
      <c r="AB8" s="471"/>
      <c r="AC8" s="472"/>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row>
    <row r="9" spans="1:74" ht="15" customHeight="1" thickBot="1" x14ac:dyDescent="0.3">
      <c r="A9" s="18"/>
      <c r="B9" s="411"/>
      <c r="C9" s="411"/>
      <c r="D9" s="411"/>
      <c r="E9" s="460"/>
      <c r="F9" s="460"/>
      <c r="G9" s="460"/>
      <c r="H9" s="69"/>
      <c r="I9" s="70"/>
      <c r="J9" s="71"/>
      <c r="K9" s="69"/>
      <c r="L9" s="70"/>
      <c r="M9" s="71"/>
      <c r="N9" s="69"/>
      <c r="O9" s="70"/>
      <c r="P9" s="71"/>
      <c r="Q9" s="69"/>
      <c r="R9" s="70"/>
      <c r="S9" s="71"/>
      <c r="T9" s="77"/>
      <c r="U9" s="78"/>
      <c r="V9" s="79"/>
      <c r="W9" s="18"/>
      <c r="X9" s="470"/>
      <c r="Y9" s="471"/>
      <c r="Z9" s="471"/>
      <c r="AA9" s="471"/>
      <c r="AB9" s="471"/>
      <c r="AC9" s="472"/>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row>
    <row r="10" spans="1:74" ht="15" customHeight="1" x14ac:dyDescent="0.25">
      <c r="A10" s="18"/>
      <c r="B10" s="411"/>
      <c r="C10" s="411"/>
      <c r="D10" s="411"/>
      <c r="E10" s="459" t="s">
        <v>83</v>
      </c>
      <c r="F10" s="460"/>
      <c r="G10" s="460"/>
      <c r="H10" s="80"/>
      <c r="I10" s="81"/>
      <c r="J10" s="82"/>
      <c r="K10" s="80"/>
      <c r="L10" s="81"/>
      <c r="M10" s="82"/>
      <c r="N10" s="14"/>
      <c r="O10" s="14"/>
      <c r="P10" s="14"/>
      <c r="Q10" s="64"/>
      <c r="R10" s="65"/>
      <c r="S10" s="66"/>
      <c r="T10" s="72"/>
      <c r="U10" s="73"/>
      <c r="V10" s="74"/>
      <c r="W10" s="18"/>
      <c r="X10" s="461" t="s">
        <v>65</v>
      </c>
      <c r="Y10" s="462"/>
      <c r="Z10" s="462"/>
      <c r="AA10" s="462"/>
      <c r="AB10" s="462"/>
      <c r="AC10" s="463"/>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row>
    <row r="11" spans="1:74" ht="15" customHeight="1" x14ac:dyDescent="0.25">
      <c r="A11" s="18"/>
      <c r="B11" s="411"/>
      <c r="C11" s="411"/>
      <c r="D11" s="411"/>
      <c r="E11" s="459"/>
      <c r="F11" s="460"/>
      <c r="G11" s="460"/>
      <c r="H11" s="83"/>
      <c r="I11" s="16"/>
      <c r="J11" s="84"/>
      <c r="K11" s="83"/>
      <c r="L11" s="16"/>
      <c r="M11" s="84"/>
      <c r="N11" s="14"/>
      <c r="O11" s="14"/>
      <c r="P11" s="14"/>
      <c r="Q11" s="67"/>
      <c r="R11" s="14"/>
      <c r="S11" s="68"/>
      <c r="T11" s="75"/>
      <c r="U11" s="15"/>
      <c r="V11" s="76"/>
      <c r="W11" s="18"/>
      <c r="X11" s="464"/>
      <c r="Y11" s="465"/>
      <c r="Z11" s="465"/>
      <c r="AA11" s="465"/>
      <c r="AB11" s="465"/>
      <c r="AC11" s="466"/>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row>
    <row r="12" spans="1:74" ht="15" customHeight="1" x14ac:dyDescent="0.25">
      <c r="A12" s="18"/>
      <c r="B12" s="411"/>
      <c r="C12" s="411"/>
      <c r="D12" s="411"/>
      <c r="E12" s="460"/>
      <c r="F12" s="460"/>
      <c r="G12" s="460"/>
      <c r="H12" s="83"/>
      <c r="I12" s="16"/>
      <c r="J12" s="84"/>
      <c r="K12" s="83"/>
      <c r="L12" s="16"/>
      <c r="M12" s="84"/>
      <c r="N12" s="14"/>
      <c r="O12" s="14"/>
      <c r="P12" s="14"/>
      <c r="Q12" s="67"/>
      <c r="R12" s="14"/>
      <c r="S12" s="68"/>
      <c r="T12" s="75"/>
      <c r="U12" s="15"/>
      <c r="V12" s="76"/>
      <c r="W12" s="18"/>
      <c r="X12" s="464"/>
      <c r="Y12" s="465"/>
      <c r="Z12" s="465"/>
      <c r="AA12" s="465"/>
      <c r="AB12" s="465"/>
      <c r="AC12" s="466"/>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row>
    <row r="13" spans="1:74" ht="15" customHeight="1" thickBot="1" x14ac:dyDescent="0.3">
      <c r="A13" s="18"/>
      <c r="B13" s="411"/>
      <c r="C13" s="411"/>
      <c r="D13" s="411"/>
      <c r="E13" s="460"/>
      <c r="F13" s="460"/>
      <c r="G13" s="460"/>
      <c r="H13" s="85"/>
      <c r="I13" s="86"/>
      <c r="J13" s="87"/>
      <c r="K13" s="85"/>
      <c r="L13" s="86"/>
      <c r="M13" s="87"/>
      <c r="N13" s="14"/>
      <c r="O13" s="14"/>
      <c r="P13" s="14"/>
      <c r="Q13" s="69"/>
      <c r="R13" s="70"/>
      <c r="S13" s="71"/>
      <c r="T13" s="77"/>
      <c r="U13" s="78"/>
      <c r="V13" s="79"/>
      <c r="W13" s="18"/>
      <c r="X13" s="464"/>
      <c r="Y13" s="465"/>
      <c r="Z13" s="465"/>
      <c r="AA13" s="465"/>
      <c r="AB13" s="465"/>
      <c r="AC13" s="466"/>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row>
    <row r="14" spans="1:74" ht="15" customHeight="1" x14ac:dyDescent="0.25">
      <c r="A14" s="18"/>
      <c r="B14" s="411"/>
      <c r="C14" s="411"/>
      <c r="D14" s="411"/>
      <c r="E14" s="459" t="s">
        <v>85</v>
      </c>
      <c r="F14" s="460"/>
      <c r="G14" s="460"/>
      <c r="H14" s="80"/>
      <c r="I14" s="81"/>
      <c r="J14" s="82"/>
      <c r="K14" s="80"/>
      <c r="L14" s="81"/>
      <c r="M14" s="82"/>
      <c r="N14" s="80"/>
      <c r="O14" s="81"/>
      <c r="P14" s="82"/>
      <c r="Q14" s="64"/>
      <c r="R14" s="65"/>
      <c r="S14" s="66"/>
      <c r="T14" s="72"/>
      <c r="U14" s="73"/>
      <c r="V14" s="74"/>
      <c r="W14" s="18"/>
      <c r="X14" s="481" t="s">
        <v>66</v>
      </c>
      <c r="Y14" s="482"/>
      <c r="Z14" s="482"/>
      <c r="AA14" s="482"/>
      <c r="AB14" s="482"/>
      <c r="AC14" s="483"/>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row>
    <row r="15" spans="1:74" ht="15" customHeight="1" x14ac:dyDescent="0.25">
      <c r="A15" s="18"/>
      <c r="B15" s="411"/>
      <c r="C15" s="411"/>
      <c r="D15" s="411"/>
      <c r="E15" s="459"/>
      <c r="F15" s="460"/>
      <c r="G15" s="460"/>
      <c r="H15" s="83"/>
      <c r="I15" s="16"/>
      <c r="J15" s="84"/>
      <c r="K15" s="83"/>
      <c r="L15" s="16"/>
      <c r="M15" s="84"/>
      <c r="N15" s="83"/>
      <c r="O15" s="16"/>
      <c r="P15" s="84"/>
      <c r="Q15" s="67"/>
      <c r="R15" s="14"/>
      <c r="S15" s="68"/>
      <c r="T15" s="75"/>
      <c r="U15" s="15"/>
      <c r="V15" s="76"/>
      <c r="W15" s="18"/>
      <c r="X15" s="484"/>
      <c r="Y15" s="485"/>
      <c r="Z15" s="485"/>
      <c r="AA15" s="485"/>
      <c r="AB15" s="485"/>
      <c r="AC15" s="486"/>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row>
    <row r="16" spans="1:74" ht="15" customHeight="1" x14ac:dyDescent="0.25">
      <c r="A16" s="18"/>
      <c r="B16" s="411"/>
      <c r="C16" s="411"/>
      <c r="D16" s="411"/>
      <c r="E16" s="460"/>
      <c r="F16" s="460"/>
      <c r="G16" s="460"/>
      <c r="H16" s="83"/>
      <c r="I16" s="16"/>
      <c r="J16" s="84"/>
      <c r="K16" s="83"/>
      <c r="L16" s="16"/>
      <c r="M16" s="84"/>
      <c r="N16" s="83"/>
      <c r="O16" s="16"/>
      <c r="P16" s="84"/>
      <c r="Q16" s="67"/>
      <c r="R16" s="14"/>
      <c r="S16" s="68"/>
      <c r="T16" s="75"/>
      <c r="U16" s="15"/>
      <c r="V16" s="76"/>
      <c r="W16" s="18"/>
      <c r="X16" s="484"/>
      <c r="Y16" s="485"/>
      <c r="Z16" s="485"/>
      <c r="AA16" s="485"/>
      <c r="AB16" s="485"/>
      <c r="AC16" s="486"/>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row>
    <row r="17" spans="1:63" ht="15" customHeight="1" thickBot="1" x14ac:dyDescent="0.3">
      <c r="A17" s="18"/>
      <c r="B17" s="411"/>
      <c r="C17" s="411"/>
      <c r="D17" s="411"/>
      <c r="E17" s="460"/>
      <c r="F17" s="460"/>
      <c r="G17" s="460"/>
      <c r="H17" s="85"/>
      <c r="I17" s="86"/>
      <c r="J17" s="87"/>
      <c r="K17" s="85"/>
      <c r="L17" s="86"/>
      <c r="M17" s="87"/>
      <c r="N17" s="85"/>
      <c r="O17" s="86"/>
      <c r="P17" s="87"/>
      <c r="Q17" s="69"/>
      <c r="R17" s="70"/>
      <c r="S17" s="71"/>
      <c r="T17" s="77"/>
      <c r="U17" s="78"/>
      <c r="V17" s="79"/>
      <c r="W17" s="18"/>
      <c r="X17" s="484"/>
      <c r="Y17" s="485"/>
      <c r="Z17" s="485"/>
      <c r="AA17" s="485"/>
      <c r="AB17" s="485"/>
      <c r="AC17" s="486"/>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row>
    <row r="18" spans="1:63" ht="15" customHeight="1" x14ac:dyDescent="0.25">
      <c r="A18" s="18"/>
      <c r="B18" s="411"/>
      <c r="C18" s="411"/>
      <c r="D18" s="411"/>
      <c r="E18" s="459" t="s">
        <v>82</v>
      </c>
      <c r="F18" s="460"/>
      <c r="G18" s="460"/>
      <c r="H18" s="88"/>
      <c r="I18" s="89"/>
      <c r="J18" s="90"/>
      <c r="K18" s="80"/>
      <c r="L18" s="81"/>
      <c r="M18" s="82"/>
      <c r="N18" s="80"/>
      <c r="O18" s="81"/>
      <c r="P18" s="82"/>
      <c r="Q18" s="64"/>
      <c r="R18" s="65"/>
      <c r="S18" s="66"/>
      <c r="T18" s="72"/>
      <c r="U18" s="73"/>
      <c r="V18" s="74"/>
      <c r="W18" s="18"/>
      <c r="X18" s="475" t="s">
        <v>67</v>
      </c>
      <c r="Y18" s="476"/>
      <c r="Z18" s="476"/>
      <c r="AA18" s="476"/>
      <c r="AB18" s="476"/>
      <c r="AC18" s="477"/>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row>
    <row r="19" spans="1:63" ht="15" customHeight="1" x14ac:dyDescent="0.25">
      <c r="A19" s="18"/>
      <c r="B19" s="411"/>
      <c r="C19" s="411"/>
      <c r="D19" s="411"/>
      <c r="E19" s="459"/>
      <c r="F19" s="460"/>
      <c r="G19" s="460"/>
      <c r="H19" s="91"/>
      <c r="I19" s="17"/>
      <c r="J19" s="92"/>
      <c r="K19" s="83"/>
      <c r="L19" s="16"/>
      <c r="M19" s="84"/>
      <c r="N19" s="83"/>
      <c r="O19" s="16"/>
      <c r="P19" s="84"/>
      <c r="Q19" s="67"/>
      <c r="R19" s="14"/>
      <c r="S19" s="68"/>
      <c r="T19" s="75"/>
      <c r="U19" s="15"/>
      <c r="V19" s="76"/>
      <c r="W19" s="18"/>
      <c r="X19" s="478"/>
      <c r="Y19" s="479"/>
      <c r="Z19" s="479"/>
      <c r="AA19" s="479"/>
      <c r="AB19" s="479"/>
      <c r="AC19" s="480"/>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row>
    <row r="20" spans="1:63" ht="15" customHeight="1" x14ac:dyDescent="0.25">
      <c r="A20" s="18"/>
      <c r="B20" s="411"/>
      <c r="C20" s="411"/>
      <c r="D20" s="411"/>
      <c r="E20" s="460"/>
      <c r="F20" s="460"/>
      <c r="G20" s="460"/>
      <c r="H20" s="91"/>
      <c r="I20" s="17"/>
      <c r="J20" s="92"/>
      <c r="K20" s="83"/>
      <c r="L20" s="16"/>
      <c r="M20" s="84"/>
      <c r="N20" s="83"/>
      <c r="O20" s="16"/>
      <c r="P20" s="84"/>
      <c r="Q20" s="67"/>
      <c r="R20" s="14"/>
      <c r="S20" s="68"/>
      <c r="T20" s="75"/>
      <c r="U20" s="15"/>
      <c r="V20" s="76"/>
      <c r="W20" s="18"/>
      <c r="X20" s="478"/>
      <c r="Y20" s="479"/>
      <c r="Z20" s="479"/>
      <c r="AA20" s="479"/>
      <c r="AB20" s="479"/>
      <c r="AC20" s="480"/>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row>
    <row r="21" spans="1:63" ht="15" customHeight="1" x14ac:dyDescent="0.25">
      <c r="A21" s="18"/>
      <c r="B21" s="411"/>
      <c r="C21" s="411"/>
      <c r="D21" s="411"/>
      <c r="E21" s="460"/>
      <c r="F21" s="460"/>
      <c r="G21" s="460"/>
      <c r="H21" s="93"/>
      <c r="I21" s="94"/>
      <c r="J21" s="95"/>
      <c r="K21" s="85"/>
      <c r="L21" s="86"/>
      <c r="M21" s="87"/>
      <c r="N21" s="85"/>
      <c r="O21" s="86"/>
      <c r="P21" s="87"/>
      <c r="Q21" s="69"/>
      <c r="R21" s="70"/>
      <c r="S21" s="71"/>
      <c r="T21" s="77"/>
      <c r="U21" s="78"/>
      <c r="V21" s="79"/>
      <c r="W21" s="18"/>
      <c r="X21" s="478"/>
      <c r="Y21" s="479"/>
      <c r="Z21" s="479"/>
      <c r="AA21" s="479"/>
      <c r="AB21" s="479"/>
      <c r="AC21" s="480"/>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row>
    <row r="22" spans="1:63" ht="20.25" customHeight="1" x14ac:dyDescent="0.35">
      <c r="A22" s="18"/>
      <c r="B22" s="411"/>
      <c r="C22" s="411"/>
      <c r="D22" s="411"/>
      <c r="E22" s="459" t="s">
        <v>81</v>
      </c>
      <c r="F22" s="460"/>
      <c r="G22" s="460"/>
      <c r="H22" s="88"/>
      <c r="I22" s="89"/>
      <c r="J22" s="90"/>
      <c r="K22" s="88"/>
      <c r="L22" s="89"/>
      <c r="M22" s="90"/>
      <c r="N22" s="80"/>
      <c r="O22" s="96"/>
      <c r="P22" s="82"/>
      <c r="Q22" s="14"/>
      <c r="R22" s="14"/>
      <c r="S22" s="14"/>
      <c r="T22" s="72"/>
      <c r="U22" s="73"/>
      <c r="V22" s="74"/>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row>
    <row r="23" spans="1:63" ht="16.5" customHeight="1" x14ac:dyDescent="0.25">
      <c r="A23" s="18"/>
      <c r="B23" s="411"/>
      <c r="C23" s="411"/>
      <c r="D23" s="411"/>
      <c r="E23" s="459"/>
      <c r="F23" s="460"/>
      <c r="G23" s="460"/>
      <c r="H23" s="91"/>
      <c r="I23" s="17"/>
      <c r="J23" s="92"/>
      <c r="K23" s="91"/>
      <c r="L23" s="17"/>
      <c r="M23" s="92"/>
      <c r="N23" s="83"/>
      <c r="O23" s="16"/>
      <c r="P23" s="84"/>
      <c r="Q23" s="14"/>
      <c r="R23" s="14"/>
      <c r="S23" s="14"/>
      <c r="T23" s="75"/>
      <c r="U23" s="15"/>
      <c r="V23" s="76"/>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row>
    <row r="24" spans="1:63" ht="15" customHeight="1" x14ac:dyDescent="0.25">
      <c r="A24" s="18"/>
      <c r="B24" s="411"/>
      <c r="C24" s="411"/>
      <c r="D24" s="411"/>
      <c r="E24" s="459"/>
      <c r="F24" s="460"/>
      <c r="G24" s="460"/>
      <c r="H24" s="91"/>
      <c r="I24" s="17"/>
      <c r="J24" s="92"/>
      <c r="K24" s="91"/>
      <c r="L24" s="17"/>
      <c r="M24" s="92"/>
      <c r="N24" s="83"/>
      <c r="O24" s="16"/>
      <c r="P24" s="84"/>
      <c r="Q24" s="14"/>
      <c r="R24" s="14"/>
      <c r="S24" s="14"/>
      <c r="T24" s="75"/>
      <c r="U24" s="15"/>
      <c r="V24" s="76"/>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row>
    <row r="25" spans="1:63" ht="15" customHeight="1" x14ac:dyDescent="0.25">
      <c r="A25" s="18"/>
      <c r="B25" s="411"/>
      <c r="C25" s="411"/>
      <c r="D25" s="411"/>
      <c r="E25" s="460"/>
      <c r="F25" s="460"/>
      <c r="G25" s="460"/>
      <c r="H25" s="93"/>
      <c r="I25" s="94"/>
      <c r="J25" s="95"/>
      <c r="K25" s="93"/>
      <c r="L25" s="94"/>
      <c r="M25" s="95"/>
      <c r="N25" s="85"/>
      <c r="O25" s="86"/>
      <c r="P25" s="87"/>
      <c r="Q25" s="14"/>
      <c r="R25" s="14"/>
      <c r="S25" s="14"/>
      <c r="T25" s="77"/>
      <c r="U25" s="78"/>
      <c r="V25" s="79"/>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row>
    <row r="26" spans="1:63" x14ac:dyDescent="0.25">
      <c r="A26" s="18"/>
      <c r="B26" s="18"/>
      <c r="C26" s="18"/>
      <c r="D26" s="18"/>
      <c r="E26" s="18"/>
      <c r="F26" s="18"/>
      <c r="G26" s="18"/>
      <c r="H26" s="459" t="s">
        <v>80</v>
      </c>
      <c r="I26" s="460"/>
      <c r="J26" s="460"/>
      <c r="K26" s="459" t="s">
        <v>79</v>
      </c>
      <c r="L26" s="460"/>
      <c r="M26" s="460"/>
      <c r="N26" s="459" t="s">
        <v>78</v>
      </c>
      <c r="O26" s="460"/>
      <c r="P26" s="460"/>
      <c r="Q26" s="459" t="s">
        <v>77</v>
      </c>
      <c r="R26" s="459"/>
      <c r="S26" s="460"/>
      <c r="T26" s="459" t="s">
        <v>76</v>
      </c>
      <c r="U26" s="460"/>
      <c r="V26" s="460"/>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row>
    <row r="27" spans="1:63" x14ac:dyDescent="0.25">
      <c r="A27" s="18"/>
      <c r="B27" s="18"/>
      <c r="C27" s="18"/>
      <c r="D27" s="18"/>
      <c r="E27" s="18"/>
      <c r="F27" s="18"/>
      <c r="G27" s="18"/>
      <c r="H27" s="460"/>
      <c r="I27" s="460"/>
      <c r="J27" s="460"/>
      <c r="K27" s="460"/>
      <c r="L27" s="460"/>
      <c r="M27" s="460"/>
      <c r="N27" s="460"/>
      <c r="O27" s="460"/>
      <c r="P27" s="460"/>
      <c r="Q27" s="460"/>
      <c r="R27" s="460"/>
      <c r="S27" s="460"/>
      <c r="T27" s="460"/>
      <c r="U27" s="460"/>
      <c r="V27" s="460"/>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row>
    <row r="28" spans="1:63" x14ac:dyDescent="0.25">
      <c r="A28" s="18"/>
      <c r="B28" s="18"/>
      <c r="C28" s="18"/>
      <c r="D28" s="18"/>
      <c r="E28" s="18"/>
      <c r="F28" s="18"/>
      <c r="G28" s="18"/>
      <c r="H28" s="460"/>
      <c r="I28" s="460"/>
      <c r="J28" s="460"/>
      <c r="K28" s="460"/>
      <c r="L28" s="460"/>
      <c r="M28" s="460"/>
      <c r="N28" s="460"/>
      <c r="O28" s="460"/>
      <c r="P28" s="460"/>
      <c r="Q28" s="460"/>
      <c r="R28" s="460"/>
      <c r="S28" s="460"/>
      <c r="T28" s="460"/>
      <c r="U28" s="460"/>
      <c r="V28" s="460"/>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row>
    <row r="29" spans="1:63" x14ac:dyDescent="0.25">
      <c r="A29" s="18"/>
      <c r="B29" s="18"/>
      <c r="C29" s="18"/>
      <c r="D29" s="18"/>
      <c r="E29" s="18"/>
      <c r="F29" s="18"/>
      <c r="G29" s="18"/>
      <c r="H29" s="460"/>
      <c r="I29" s="460"/>
      <c r="J29" s="460"/>
      <c r="K29" s="460"/>
      <c r="L29" s="460"/>
      <c r="M29" s="460"/>
      <c r="N29" s="460"/>
      <c r="O29" s="460"/>
      <c r="P29" s="460"/>
      <c r="Q29" s="460"/>
      <c r="R29" s="460"/>
      <c r="S29" s="460"/>
      <c r="T29" s="460"/>
      <c r="U29" s="460"/>
      <c r="V29" s="460"/>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row>
    <row r="30" spans="1:63" x14ac:dyDescent="0.25">
      <c r="A30" s="18"/>
      <c r="B30" s="18"/>
      <c r="C30" s="18"/>
      <c r="D30" s="18"/>
      <c r="E30" s="18"/>
      <c r="F30" s="18"/>
      <c r="G30" s="18"/>
      <c r="H30" s="460"/>
      <c r="I30" s="460"/>
      <c r="J30" s="460"/>
      <c r="K30" s="460"/>
      <c r="L30" s="460"/>
      <c r="M30" s="460"/>
      <c r="N30" s="460"/>
      <c r="O30" s="460"/>
      <c r="P30" s="460"/>
      <c r="Q30" s="460"/>
      <c r="R30" s="460"/>
      <c r="S30" s="460"/>
      <c r="T30" s="460"/>
      <c r="U30" s="460"/>
      <c r="V30" s="460"/>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row>
    <row r="31" spans="1:63"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row>
    <row r="32" spans="1:63" ht="15" customHeight="1" x14ac:dyDescent="0.25">
      <c r="A32" s="18"/>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18"/>
      <c r="AE32" s="18"/>
      <c r="AF32" s="18"/>
      <c r="AG32" s="18"/>
      <c r="AH32" s="18"/>
      <c r="AI32" s="18"/>
      <c r="AJ32" s="18"/>
      <c r="AK32" s="18"/>
      <c r="AL32" s="18"/>
      <c r="AM32" s="18"/>
      <c r="AN32" s="18"/>
      <c r="AO32" s="18"/>
      <c r="AP32" s="18"/>
      <c r="AQ32" s="18"/>
    </row>
    <row r="33" spans="1:43" ht="15" customHeight="1" x14ac:dyDescent="0.25">
      <c r="A33" s="18"/>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18"/>
      <c r="AE33" s="18"/>
      <c r="AF33" s="18"/>
      <c r="AG33" s="18"/>
      <c r="AH33" s="18"/>
      <c r="AI33" s="18"/>
      <c r="AJ33" s="18"/>
      <c r="AK33" s="18"/>
      <c r="AL33" s="18"/>
      <c r="AM33" s="18"/>
      <c r="AN33" s="18"/>
      <c r="AO33" s="18"/>
      <c r="AP33" s="18"/>
      <c r="AQ33" s="18"/>
    </row>
    <row r="34" spans="1:43"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1:43"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1:43"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row>
    <row r="37" spans="1:43"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43"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43"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43"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spans="1:43"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spans="1:43"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spans="1:43"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1:43"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spans="1:43"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row>
    <row r="50" spans="1:43"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row>
    <row r="51" spans="1:43"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row>
    <row r="52" spans="1:43"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row>
    <row r="53" spans="1:43"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row>
    <row r="54" spans="1:43"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row>
    <row r="55" spans="1:43"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row>
    <row r="56" spans="1:43"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row>
    <row r="57" spans="1:43"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row>
    <row r="58" spans="1:43"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row>
    <row r="59" spans="1:43"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row>
    <row r="60" spans="1:43"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row>
    <row r="61" spans="1:43"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row>
    <row r="62" spans="1:43"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row>
    <row r="63" spans="1:43"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row>
    <row r="64" spans="1:43"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row>
    <row r="65" spans="1:43"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row>
    <row r="66" spans="1:43"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row>
    <row r="67" spans="1:43"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row>
    <row r="68" spans="1:43"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row>
    <row r="69" spans="1:43"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row>
    <row r="70" spans="1:43"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row>
    <row r="71" spans="1:43"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row>
    <row r="72" spans="1:43"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row>
    <row r="73" spans="1:43"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row>
    <row r="74" spans="1:43"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row>
    <row r="75" spans="1:43"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row>
    <row r="76" spans="1:43"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row>
    <row r="77" spans="1:43"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row>
    <row r="78" spans="1:43"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row>
    <row r="79" spans="1:43"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row>
    <row r="80" spans="1:43"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row>
    <row r="81" spans="1:43"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row>
    <row r="82" spans="1:43"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row>
    <row r="83" spans="1:43"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row>
    <row r="84" spans="1:43"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row>
    <row r="85" spans="1:43"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row>
    <row r="86" spans="1:43"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row>
    <row r="87" spans="1:43"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row>
    <row r="88" spans="1:43"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row>
    <row r="89" spans="1:43"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row>
    <row r="90" spans="1:43"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row>
    <row r="91" spans="1:43"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row>
    <row r="92" spans="1:43"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row>
    <row r="93" spans="1:43"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row>
    <row r="94" spans="1:43"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row>
    <row r="95" spans="1:43"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row>
    <row r="96" spans="1:43"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row>
    <row r="97" spans="1:43"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row>
    <row r="98" spans="1:43"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row>
    <row r="99" spans="1:43"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row>
    <row r="100" spans="1:43"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row>
    <row r="101" spans="1:43"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row>
    <row r="102" spans="1:43"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row>
    <row r="103" spans="1:43"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row>
    <row r="104" spans="1:43"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row>
    <row r="105" spans="1:43"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row>
    <row r="106" spans="1:43"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row>
    <row r="107" spans="1:43"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row>
    <row r="108" spans="1:43"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row>
    <row r="109" spans="1:43"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row>
    <row r="110" spans="1:43"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row>
    <row r="111" spans="1:43"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row>
    <row r="112" spans="1:43"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row>
    <row r="113" spans="1:43"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row>
    <row r="114" spans="1:43"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row>
    <row r="115" spans="1:43"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row>
    <row r="116" spans="1:43"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row>
    <row r="117" spans="1:43"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row>
    <row r="118" spans="1:43"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row>
    <row r="119" spans="1:43"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row>
    <row r="120" spans="1:43"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row>
    <row r="121" spans="1:43"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row>
    <row r="122" spans="1:43"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row>
    <row r="123" spans="1:43"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row>
    <row r="124" spans="1:43"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row>
    <row r="125" spans="1:43"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row>
    <row r="126" spans="1:43"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row>
    <row r="127" spans="1:43"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row>
    <row r="128" spans="1:43"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row>
    <row r="129" spans="1:43"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row>
    <row r="130" spans="1:43"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row>
    <row r="131" spans="1:43"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row>
    <row r="132" spans="1:43"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row>
    <row r="133" spans="1:43"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row>
    <row r="134" spans="1:43"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row>
    <row r="135" spans="1:43"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row>
    <row r="136" spans="1:43"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row>
    <row r="137" spans="1:43"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row>
    <row r="138" spans="1:43"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row>
    <row r="139" spans="1:43"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row>
    <row r="140" spans="1:43"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row>
    <row r="141" spans="1:43"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row>
    <row r="142" spans="1:43"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row>
    <row r="143" spans="1:43"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row>
    <row r="144" spans="1:43"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row>
    <row r="145" spans="1:43"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row>
    <row r="146" spans="1:43"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row>
    <row r="147" spans="1:43"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row>
    <row r="148" spans="1:43"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row>
    <row r="149" spans="1:43"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row>
    <row r="150" spans="1:43"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row>
    <row r="151" spans="1:43"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row>
    <row r="152" spans="1:43"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row>
    <row r="153" spans="1:43"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row>
    <row r="154" spans="1:43"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row>
    <row r="155" spans="1:43"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row>
    <row r="156" spans="1:43"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row>
    <row r="157" spans="1:43"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row>
    <row r="158" spans="1:43"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row>
    <row r="159" spans="1:43"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row>
    <row r="160" spans="1:43" x14ac:dyDescent="0.25">
      <c r="A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row>
    <row r="161" spans="1:43" x14ac:dyDescent="0.25">
      <c r="A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row>
    <row r="162" spans="1:43" x14ac:dyDescent="0.25">
      <c r="A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row>
    <row r="163" spans="1:43" x14ac:dyDescent="0.25">
      <c r="A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row>
    <row r="164" spans="1:43" x14ac:dyDescent="0.25">
      <c r="A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row>
    <row r="165" spans="1:43" x14ac:dyDescent="0.25">
      <c r="A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row>
    <row r="166" spans="1:43" x14ac:dyDescent="0.25">
      <c r="A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row>
    <row r="167" spans="1:43" x14ac:dyDescent="0.25">
      <c r="A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row>
    <row r="168" spans="1:43" x14ac:dyDescent="0.25">
      <c r="A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row>
    <row r="169" spans="1:43" x14ac:dyDescent="0.25">
      <c r="A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row>
    <row r="170" spans="1:43" x14ac:dyDescent="0.25">
      <c r="A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row>
    <row r="171" spans="1:43" x14ac:dyDescent="0.25">
      <c r="A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row>
    <row r="172" spans="1:43" x14ac:dyDescent="0.25">
      <c r="A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row>
    <row r="173" spans="1:43" x14ac:dyDescent="0.25">
      <c r="A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row>
    <row r="174" spans="1:43" x14ac:dyDescent="0.25">
      <c r="A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row>
    <row r="175" spans="1:43" x14ac:dyDescent="0.25">
      <c r="A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row>
    <row r="176" spans="1:43" x14ac:dyDescent="0.25">
      <c r="A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row>
    <row r="177" spans="1:43" x14ac:dyDescent="0.25">
      <c r="A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row>
    <row r="178" spans="1:43" x14ac:dyDescent="0.25">
      <c r="A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row>
    <row r="179" spans="1:43" x14ac:dyDescent="0.25">
      <c r="A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row>
    <row r="180" spans="1:43" x14ac:dyDescent="0.25">
      <c r="A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row>
    <row r="181" spans="1:43" x14ac:dyDescent="0.25">
      <c r="A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row>
    <row r="182" spans="1:43" x14ac:dyDescent="0.25">
      <c r="A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row>
    <row r="183" spans="1:43" x14ac:dyDescent="0.25">
      <c r="A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row>
    <row r="184" spans="1:43" x14ac:dyDescent="0.25">
      <c r="A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row>
    <row r="185" spans="1:43" x14ac:dyDescent="0.25">
      <c r="A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row>
    <row r="186" spans="1:43" x14ac:dyDescent="0.25">
      <c r="A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row>
    <row r="187" spans="1:43" x14ac:dyDescent="0.25">
      <c r="A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row>
    <row r="188" spans="1:43" x14ac:dyDescent="0.25">
      <c r="A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row>
    <row r="189" spans="1:43" x14ac:dyDescent="0.25">
      <c r="A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row>
    <row r="190" spans="1:43" x14ac:dyDescent="0.25">
      <c r="A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row>
    <row r="191" spans="1:43" x14ac:dyDescent="0.25">
      <c r="A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row>
    <row r="192" spans="1:43" x14ac:dyDescent="0.25">
      <c r="A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row>
    <row r="193" spans="1:43" x14ac:dyDescent="0.25">
      <c r="A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row>
    <row r="194" spans="1:43" x14ac:dyDescent="0.25">
      <c r="A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row>
    <row r="195" spans="1:43" x14ac:dyDescent="0.25">
      <c r="A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row>
    <row r="196" spans="1:43" x14ac:dyDescent="0.25">
      <c r="A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row>
    <row r="197" spans="1:43" x14ac:dyDescent="0.25">
      <c r="A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row>
    <row r="198" spans="1:43" x14ac:dyDescent="0.25">
      <c r="A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row>
    <row r="199" spans="1:43" x14ac:dyDescent="0.25">
      <c r="A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row>
    <row r="200" spans="1:43" x14ac:dyDescent="0.25">
      <c r="A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row>
    <row r="201" spans="1:43" x14ac:dyDescent="0.25">
      <c r="A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row>
    <row r="202" spans="1:43" x14ac:dyDescent="0.25">
      <c r="A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row>
    <row r="203" spans="1:43" x14ac:dyDescent="0.25">
      <c r="A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row>
    <row r="204" spans="1:43" x14ac:dyDescent="0.25">
      <c r="A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row>
    <row r="205" spans="1:43" x14ac:dyDescent="0.25">
      <c r="A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row>
    <row r="206" spans="1:43" x14ac:dyDescent="0.25">
      <c r="A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row>
    <row r="207" spans="1:43" x14ac:dyDescent="0.25">
      <c r="A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row>
    <row r="208" spans="1:43" x14ac:dyDescent="0.25">
      <c r="A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row>
    <row r="209" spans="1:43" x14ac:dyDescent="0.25">
      <c r="A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row>
    <row r="210" spans="1:43" x14ac:dyDescent="0.25">
      <c r="A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row>
    <row r="211" spans="1:43" x14ac:dyDescent="0.25">
      <c r="A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row>
    <row r="212" spans="1:43" x14ac:dyDescent="0.25">
      <c r="A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row>
    <row r="213" spans="1:43" x14ac:dyDescent="0.25">
      <c r="A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row>
    <row r="214" spans="1:43" x14ac:dyDescent="0.25">
      <c r="A214" s="18"/>
    </row>
    <row r="215" spans="1:43" x14ac:dyDescent="0.25">
      <c r="A215" s="18"/>
    </row>
    <row r="216" spans="1:43" x14ac:dyDescent="0.25">
      <c r="A216" s="18"/>
    </row>
    <row r="217" spans="1:43" x14ac:dyDescent="0.25">
      <c r="A217" s="18"/>
    </row>
  </sheetData>
  <mergeCells count="17">
    <mergeCell ref="X10:AC13"/>
    <mergeCell ref="E10:G13"/>
    <mergeCell ref="X6:AC9"/>
    <mergeCell ref="B2:G4"/>
    <mergeCell ref="H2:V4"/>
    <mergeCell ref="B6:D25"/>
    <mergeCell ref="E6:G9"/>
    <mergeCell ref="E22:G25"/>
    <mergeCell ref="X18:AC21"/>
    <mergeCell ref="E18:G21"/>
    <mergeCell ref="X14:AC17"/>
    <mergeCell ref="E14:G17"/>
    <mergeCell ref="H26:J30"/>
    <mergeCell ref="K26:M30"/>
    <mergeCell ref="N26:P30"/>
    <mergeCell ref="Q26:S30"/>
    <mergeCell ref="T26:V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F0"/>
  </sheetPr>
  <dimension ref="A1:AK55"/>
  <sheetViews>
    <sheetView zoomScale="70" zoomScaleNormal="70" workbookViewId="0">
      <selection activeCell="A3" sqref="A3"/>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18"/>
      <c r="B1" s="487" t="s">
        <v>48</v>
      </c>
      <c r="C1" s="487"/>
      <c r="D1" s="487"/>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7" x14ac:dyDescent="0.2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row>
    <row r="3" spans="1:37" ht="25.5" x14ac:dyDescent="0.25">
      <c r="A3" s="18"/>
      <c r="B3" s="3"/>
      <c r="C3" s="4" t="s">
        <v>45</v>
      </c>
      <c r="D3" s="4" t="s">
        <v>2</v>
      </c>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7" ht="51" x14ac:dyDescent="0.25">
      <c r="A4" s="18"/>
      <c r="B4" s="5" t="s">
        <v>44</v>
      </c>
      <c r="C4" s="6" t="s">
        <v>70</v>
      </c>
      <c r="D4" s="7">
        <v>0.2</v>
      </c>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7" ht="51" x14ac:dyDescent="0.25">
      <c r="A5" s="18"/>
      <c r="B5" s="8" t="s">
        <v>46</v>
      </c>
      <c r="C5" s="9" t="s">
        <v>71</v>
      </c>
      <c r="D5" s="10">
        <v>0.4</v>
      </c>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37" ht="51" x14ac:dyDescent="0.25">
      <c r="A6" s="18"/>
      <c r="B6" s="11" t="s">
        <v>75</v>
      </c>
      <c r="C6" s="9" t="s">
        <v>72</v>
      </c>
      <c r="D6" s="10">
        <v>0.6</v>
      </c>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7" ht="76.5" x14ac:dyDescent="0.25">
      <c r="A7" s="18"/>
      <c r="B7" s="12" t="s">
        <v>4</v>
      </c>
      <c r="C7" s="9" t="s">
        <v>73</v>
      </c>
      <c r="D7" s="10">
        <v>0.8</v>
      </c>
      <c r="E7" s="18"/>
      <c r="F7" s="18"/>
      <c r="G7" s="18"/>
      <c r="H7" s="18"/>
      <c r="I7" s="18"/>
      <c r="J7" s="18"/>
      <c r="K7" s="18"/>
      <c r="L7" s="18"/>
      <c r="M7" s="18"/>
      <c r="N7" s="18"/>
      <c r="O7" s="18"/>
      <c r="P7" s="18"/>
      <c r="Q7" s="18"/>
      <c r="R7" s="18"/>
      <c r="S7" s="18"/>
      <c r="T7" s="18"/>
      <c r="U7" s="18"/>
      <c r="V7" s="18"/>
      <c r="W7" s="18"/>
      <c r="X7" s="18"/>
      <c r="Y7" s="18"/>
      <c r="Z7" s="18"/>
      <c r="AA7" s="18"/>
      <c r="AB7" s="18"/>
      <c r="AC7" s="18"/>
      <c r="AD7" s="18"/>
      <c r="AE7" s="18"/>
    </row>
    <row r="8" spans="1:37" ht="51" x14ac:dyDescent="0.25">
      <c r="A8" s="18"/>
      <c r="B8" s="13" t="s">
        <v>47</v>
      </c>
      <c r="C8" s="9" t="s">
        <v>74</v>
      </c>
      <c r="D8" s="10">
        <v>1</v>
      </c>
      <c r="E8" s="18"/>
      <c r="F8" s="18"/>
      <c r="G8" s="18"/>
      <c r="H8" s="18"/>
      <c r="I8" s="18"/>
      <c r="J8" s="18"/>
      <c r="K8" s="18"/>
      <c r="L8" s="18"/>
      <c r="M8" s="18"/>
      <c r="N8" s="18"/>
      <c r="O8" s="18"/>
      <c r="P8" s="18"/>
      <c r="Q8" s="18"/>
      <c r="R8" s="18"/>
      <c r="S8" s="18"/>
      <c r="T8" s="18"/>
      <c r="U8" s="18"/>
      <c r="V8" s="18"/>
      <c r="W8" s="18"/>
      <c r="X8" s="18"/>
      <c r="Y8" s="18"/>
      <c r="Z8" s="18"/>
      <c r="AA8" s="18"/>
      <c r="AB8" s="18"/>
      <c r="AC8" s="18"/>
      <c r="AD8" s="18"/>
      <c r="AE8" s="18"/>
    </row>
    <row r="9" spans="1:37" x14ac:dyDescent="0.25">
      <c r="A9" s="18"/>
      <c r="B9" s="38"/>
      <c r="C9" s="38"/>
      <c r="D9" s="3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row>
    <row r="10" spans="1:37" ht="16.5" x14ac:dyDescent="0.25">
      <c r="A10" s="18"/>
      <c r="B10" s="39"/>
      <c r="C10" s="38"/>
      <c r="D10" s="3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row>
    <row r="11" spans="1:37" x14ac:dyDescent="0.25">
      <c r="A11" s="18"/>
      <c r="B11" s="38"/>
      <c r="C11" s="38"/>
      <c r="D11" s="3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row>
    <row r="12" spans="1:37" x14ac:dyDescent="0.25">
      <c r="A12" s="18"/>
      <c r="B12" s="38"/>
      <c r="C12" s="38"/>
      <c r="D12" s="3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row>
    <row r="13" spans="1:37" x14ac:dyDescent="0.25">
      <c r="A13" s="18"/>
      <c r="B13" s="38"/>
      <c r="C13" s="38"/>
      <c r="D13" s="3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row>
    <row r="14" spans="1:37" x14ac:dyDescent="0.25">
      <c r="A14" s="18"/>
      <c r="B14" s="38"/>
      <c r="C14" s="38"/>
      <c r="D14" s="3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row>
    <row r="15" spans="1:37" x14ac:dyDescent="0.25">
      <c r="A15" s="18"/>
      <c r="B15" s="38"/>
      <c r="C15" s="38"/>
      <c r="D15" s="3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row>
    <row r="16" spans="1:37" x14ac:dyDescent="0.25">
      <c r="A16" s="18"/>
      <c r="B16" s="38"/>
      <c r="C16" s="38"/>
      <c r="D16" s="3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row>
    <row r="17" spans="1:37" x14ac:dyDescent="0.25">
      <c r="A17" s="18"/>
      <c r="B17" s="38"/>
      <c r="C17" s="38"/>
      <c r="D17" s="3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37" x14ac:dyDescent="0.25">
      <c r="A18" s="18"/>
      <c r="B18" s="38"/>
      <c r="C18" s="38"/>
      <c r="D18" s="3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row>
    <row r="19" spans="1:37" x14ac:dyDescent="0.2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row>
    <row r="20" spans="1:37" x14ac:dyDescent="0.2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row>
    <row r="21" spans="1:37" x14ac:dyDescent="0.2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row>
    <row r="22" spans="1:37"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row>
    <row r="23" spans="1:37"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1:37"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row>
    <row r="25" spans="1:37"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row>
    <row r="26" spans="1:37"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row>
    <row r="27" spans="1:37"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row>
    <row r="28" spans="1:37"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1:37"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1:37"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1:37"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1:37"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1" x14ac:dyDescent="0.25">
      <c r="A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row>
    <row r="34" spans="1:31" x14ac:dyDescent="0.25">
      <c r="A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1:31" x14ac:dyDescent="0.25">
      <c r="A35" s="18"/>
    </row>
    <row r="36" spans="1:31" x14ac:dyDescent="0.25">
      <c r="A36" s="18"/>
    </row>
    <row r="37" spans="1:31" x14ac:dyDescent="0.25">
      <c r="A37" s="18"/>
    </row>
    <row r="38" spans="1:31" x14ac:dyDescent="0.25">
      <c r="A38" s="18"/>
    </row>
    <row r="39" spans="1:31" x14ac:dyDescent="0.25">
      <c r="A39" s="18"/>
    </row>
    <row r="40" spans="1:31" x14ac:dyDescent="0.25">
      <c r="A40" s="18"/>
    </row>
    <row r="41" spans="1:31" x14ac:dyDescent="0.25">
      <c r="A41" s="18"/>
    </row>
    <row r="42" spans="1:31" x14ac:dyDescent="0.25">
      <c r="A42" s="18"/>
    </row>
    <row r="43" spans="1:31" x14ac:dyDescent="0.25">
      <c r="A43" s="18"/>
    </row>
    <row r="44" spans="1:31" x14ac:dyDescent="0.25">
      <c r="A44" s="18"/>
    </row>
    <row r="45" spans="1:31" x14ac:dyDescent="0.25">
      <c r="A45" s="18"/>
    </row>
    <row r="46" spans="1:31" x14ac:dyDescent="0.25">
      <c r="A46" s="18"/>
    </row>
    <row r="47" spans="1:31" x14ac:dyDescent="0.25">
      <c r="A47" s="18"/>
    </row>
    <row r="48" spans="1:31" x14ac:dyDescent="0.25">
      <c r="A48" s="18"/>
    </row>
    <row r="49" spans="1:1" x14ac:dyDescent="0.25">
      <c r="A49" s="18"/>
    </row>
    <row r="50" spans="1:1" x14ac:dyDescent="0.25">
      <c r="A50" s="18"/>
    </row>
    <row r="51" spans="1:1" x14ac:dyDescent="0.25">
      <c r="A51" s="18"/>
    </row>
    <row r="52" spans="1:1" x14ac:dyDescent="0.25">
      <c r="A52" s="18"/>
    </row>
    <row r="53" spans="1:1" x14ac:dyDescent="0.25">
      <c r="A53" s="18"/>
    </row>
    <row r="54" spans="1:1" x14ac:dyDescent="0.25">
      <c r="A54" s="18"/>
    </row>
    <row r="55" spans="1:1" x14ac:dyDescent="0.25">
      <c r="A55" s="18"/>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R37"/>
  <sheetViews>
    <sheetView topLeftCell="A3" zoomScale="106" zoomScaleNormal="106" workbookViewId="0">
      <selection activeCell="T59" sqref="T59"/>
    </sheetView>
  </sheetViews>
  <sheetFormatPr baseColWidth="10" defaultColWidth="11.42578125" defaultRowHeight="11.25" x14ac:dyDescent="0.15"/>
  <cols>
    <col min="1" max="1" width="11.42578125" style="109"/>
    <col min="2" max="2" width="6.42578125" style="109" customWidth="1"/>
    <col min="3" max="5" width="11.42578125" style="109"/>
    <col min="6" max="6" width="10.85546875" style="109" customWidth="1"/>
    <col min="7" max="7" width="11.42578125" style="109"/>
    <col min="8" max="46" width="13.42578125" style="109" customWidth="1"/>
    <col min="47" max="56" width="11.42578125" style="109" customWidth="1"/>
    <col min="57" max="16384" width="11.42578125" style="109"/>
  </cols>
  <sheetData>
    <row r="1" spans="2:70" ht="12" thickBot="1" x14ac:dyDescent="0.2">
      <c r="B1" s="488" t="s">
        <v>437</v>
      </c>
      <c r="C1" s="488"/>
      <c r="D1" s="488"/>
      <c r="E1" s="488"/>
      <c r="F1" s="488"/>
      <c r="G1" s="488"/>
      <c r="H1" s="488"/>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177"/>
      <c r="BP1" s="177"/>
      <c r="BQ1" s="177"/>
      <c r="BR1" s="177"/>
    </row>
    <row r="2" spans="2:70" ht="45" customHeight="1" x14ac:dyDescent="0.15">
      <c r="B2" s="488" t="s">
        <v>437</v>
      </c>
      <c r="C2" s="488"/>
      <c r="D2" s="488"/>
      <c r="E2" s="488"/>
      <c r="F2" s="488"/>
      <c r="G2" s="488"/>
      <c r="H2" s="496"/>
      <c r="I2" s="488" t="s">
        <v>188</v>
      </c>
      <c r="J2" s="488"/>
      <c r="K2" s="501" t="s">
        <v>189</v>
      </c>
      <c r="L2" s="491"/>
      <c r="M2" s="501" t="s">
        <v>190</v>
      </c>
      <c r="N2" s="491"/>
      <c r="O2" s="501" t="s">
        <v>191</v>
      </c>
      <c r="P2" s="491"/>
      <c r="Q2" s="501" t="s">
        <v>192</v>
      </c>
      <c r="R2" s="491"/>
      <c r="S2" s="501" t="s">
        <v>438</v>
      </c>
      <c r="T2" s="491"/>
      <c r="U2" s="501" t="s">
        <v>439</v>
      </c>
      <c r="V2" s="491"/>
      <c r="W2" s="501" t="s">
        <v>440</v>
      </c>
      <c r="X2" s="491"/>
      <c r="Y2" s="501" t="s">
        <v>441</v>
      </c>
      <c r="Z2" s="491"/>
      <c r="AA2" s="501" t="s">
        <v>442</v>
      </c>
      <c r="AB2" s="491"/>
      <c r="AC2" s="501" t="s">
        <v>451</v>
      </c>
      <c r="AD2" s="491"/>
      <c r="AE2" s="501" t="s">
        <v>452</v>
      </c>
      <c r="AF2" s="491"/>
      <c r="AG2" s="501" t="s">
        <v>453</v>
      </c>
      <c r="AH2" s="491"/>
      <c r="AI2" s="501" t="s">
        <v>454</v>
      </c>
      <c r="AJ2" s="491"/>
      <c r="AK2" s="501" t="s">
        <v>455</v>
      </c>
      <c r="AL2" s="491"/>
      <c r="AM2" s="501" t="s">
        <v>456</v>
      </c>
      <c r="AN2" s="491"/>
      <c r="AO2" s="501" t="s">
        <v>457</v>
      </c>
      <c r="AP2" s="491"/>
      <c r="AQ2" s="501" t="s">
        <v>458</v>
      </c>
      <c r="AR2" s="491"/>
      <c r="AS2" s="501" t="s">
        <v>459</v>
      </c>
      <c r="AT2" s="491"/>
      <c r="AU2" s="501" t="s">
        <v>460</v>
      </c>
      <c r="AV2" s="491"/>
      <c r="AW2" s="490" t="s">
        <v>461</v>
      </c>
      <c r="AX2" s="491"/>
      <c r="AY2" s="490" t="s">
        <v>462</v>
      </c>
      <c r="AZ2" s="491"/>
      <c r="BA2" s="490" t="s">
        <v>463</v>
      </c>
      <c r="BB2" s="491"/>
      <c r="BC2" s="490" t="s">
        <v>464</v>
      </c>
      <c r="BD2" s="491"/>
      <c r="BE2" s="490" t="s">
        <v>465</v>
      </c>
      <c r="BF2" s="491"/>
      <c r="BG2" s="490" t="s">
        <v>466</v>
      </c>
      <c r="BH2" s="491"/>
      <c r="BI2" s="490" t="s">
        <v>467</v>
      </c>
      <c r="BJ2" s="491"/>
      <c r="BK2" s="490" t="s">
        <v>468</v>
      </c>
      <c r="BL2" s="491"/>
      <c r="BM2" s="490" t="s">
        <v>469</v>
      </c>
      <c r="BN2" s="491"/>
      <c r="BO2" s="512"/>
      <c r="BP2" s="512"/>
      <c r="BQ2" s="512"/>
      <c r="BR2" s="512"/>
    </row>
    <row r="3" spans="2:70" ht="15" customHeight="1" x14ac:dyDescent="0.15">
      <c r="B3" s="495" t="s">
        <v>199</v>
      </c>
      <c r="C3" s="509" t="s">
        <v>443</v>
      </c>
      <c r="D3" s="510"/>
      <c r="E3" s="510"/>
      <c r="F3" s="510"/>
      <c r="G3" s="510"/>
      <c r="H3" s="511"/>
      <c r="I3" s="510" t="s">
        <v>185</v>
      </c>
      <c r="J3" s="510"/>
      <c r="K3" s="504" t="s">
        <v>185</v>
      </c>
      <c r="L3" s="500"/>
      <c r="M3" s="504" t="s">
        <v>185</v>
      </c>
      <c r="N3" s="500"/>
      <c r="O3" s="504" t="s">
        <v>185</v>
      </c>
      <c r="P3" s="500"/>
      <c r="Q3" s="504" t="s">
        <v>185</v>
      </c>
      <c r="R3" s="500"/>
      <c r="S3" s="504" t="s">
        <v>185</v>
      </c>
      <c r="T3" s="500"/>
      <c r="U3" s="504" t="s">
        <v>185</v>
      </c>
      <c r="V3" s="500"/>
      <c r="W3" s="504" t="s">
        <v>185</v>
      </c>
      <c r="X3" s="500"/>
      <c r="Y3" s="504" t="s">
        <v>185</v>
      </c>
      <c r="Z3" s="500"/>
      <c r="AA3" s="504" t="s">
        <v>185</v>
      </c>
      <c r="AB3" s="500"/>
      <c r="AC3" s="504" t="s">
        <v>185</v>
      </c>
      <c r="AD3" s="500"/>
      <c r="AE3" s="504" t="s">
        <v>185</v>
      </c>
      <c r="AF3" s="500"/>
      <c r="AG3" s="504" t="s">
        <v>185</v>
      </c>
      <c r="AH3" s="500"/>
      <c r="AI3" s="504" t="s">
        <v>185</v>
      </c>
      <c r="AJ3" s="500"/>
      <c r="AK3" s="504" t="s">
        <v>185</v>
      </c>
      <c r="AL3" s="500"/>
      <c r="AM3" s="504" t="s">
        <v>185</v>
      </c>
      <c r="AN3" s="500"/>
      <c r="AO3" s="504" t="s">
        <v>185</v>
      </c>
      <c r="AP3" s="500"/>
      <c r="AQ3" s="504" t="s">
        <v>185</v>
      </c>
      <c r="AR3" s="500"/>
      <c r="AS3" s="504" t="s">
        <v>185</v>
      </c>
      <c r="AT3" s="500"/>
      <c r="AU3" s="504" t="s">
        <v>185</v>
      </c>
      <c r="AV3" s="500"/>
      <c r="AW3" s="499" t="s">
        <v>185</v>
      </c>
      <c r="AX3" s="500"/>
      <c r="AY3" s="499" t="s">
        <v>185</v>
      </c>
      <c r="AZ3" s="500"/>
      <c r="BA3" s="499" t="s">
        <v>185</v>
      </c>
      <c r="BB3" s="500"/>
      <c r="BC3" s="499" t="s">
        <v>185</v>
      </c>
      <c r="BD3" s="500"/>
      <c r="BE3" s="499" t="s">
        <v>185</v>
      </c>
      <c r="BF3" s="500"/>
      <c r="BG3" s="499" t="s">
        <v>185</v>
      </c>
      <c r="BH3" s="500"/>
      <c r="BI3" s="499" t="s">
        <v>185</v>
      </c>
      <c r="BJ3" s="500"/>
      <c r="BK3" s="499" t="s">
        <v>185</v>
      </c>
      <c r="BL3" s="500"/>
      <c r="BM3" s="499" t="s">
        <v>185</v>
      </c>
      <c r="BN3" s="500"/>
      <c r="BO3" s="505"/>
      <c r="BP3" s="505"/>
      <c r="BQ3" s="505"/>
      <c r="BR3" s="505"/>
    </row>
    <row r="4" spans="2:70" x14ac:dyDescent="0.15">
      <c r="B4" s="495"/>
      <c r="C4" s="510"/>
      <c r="D4" s="510"/>
      <c r="E4" s="510"/>
      <c r="F4" s="510"/>
      <c r="G4" s="510"/>
      <c r="H4" s="511"/>
      <c r="I4" s="141" t="s">
        <v>186</v>
      </c>
      <c r="J4" s="141" t="s">
        <v>187</v>
      </c>
      <c r="K4" s="187" t="s">
        <v>186</v>
      </c>
      <c r="L4" s="179" t="s">
        <v>187</v>
      </c>
      <c r="M4" s="187" t="s">
        <v>186</v>
      </c>
      <c r="N4" s="179" t="s">
        <v>187</v>
      </c>
      <c r="O4" s="187" t="s">
        <v>186</v>
      </c>
      <c r="P4" s="179" t="s">
        <v>187</v>
      </c>
      <c r="Q4" s="187" t="s">
        <v>186</v>
      </c>
      <c r="R4" s="179" t="s">
        <v>187</v>
      </c>
      <c r="S4" s="187" t="s">
        <v>186</v>
      </c>
      <c r="T4" s="179" t="s">
        <v>187</v>
      </c>
      <c r="U4" s="187" t="s">
        <v>186</v>
      </c>
      <c r="V4" s="179" t="s">
        <v>187</v>
      </c>
      <c r="W4" s="187" t="s">
        <v>186</v>
      </c>
      <c r="X4" s="179" t="s">
        <v>187</v>
      </c>
      <c r="Y4" s="187" t="s">
        <v>186</v>
      </c>
      <c r="Z4" s="179" t="s">
        <v>187</v>
      </c>
      <c r="AA4" s="187" t="s">
        <v>186</v>
      </c>
      <c r="AB4" s="179" t="s">
        <v>187</v>
      </c>
      <c r="AC4" s="187" t="s">
        <v>186</v>
      </c>
      <c r="AD4" s="179" t="s">
        <v>187</v>
      </c>
      <c r="AE4" s="187" t="s">
        <v>186</v>
      </c>
      <c r="AF4" s="179" t="s">
        <v>187</v>
      </c>
      <c r="AG4" s="187" t="s">
        <v>186</v>
      </c>
      <c r="AH4" s="179" t="s">
        <v>187</v>
      </c>
      <c r="AI4" s="187" t="s">
        <v>186</v>
      </c>
      <c r="AJ4" s="179" t="s">
        <v>187</v>
      </c>
      <c r="AK4" s="187" t="s">
        <v>186</v>
      </c>
      <c r="AL4" s="179" t="s">
        <v>187</v>
      </c>
      <c r="AM4" s="187" t="s">
        <v>186</v>
      </c>
      <c r="AN4" s="179" t="s">
        <v>187</v>
      </c>
      <c r="AO4" s="187" t="s">
        <v>186</v>
      </c>
      <c r="AP4" s="179" t="s">
        <v>187</v>
      </c>
      <c r="AQ4" s="187" t="s">
        <v>186</v>
      </c>
      <c r="AR4" s="179" t="s">
        <v>187</v>
      </c>
      <c r="AS4" s="187" t="s">
        <v>186</v>
      </c>
      <c r="AT4" s="179" t="s">
        <v>187</v>
      </c>
      <c r="AU4" s="187" t="s">
        <v>186</v>
      </c>
      <c r="AV4" s="179" t="s">
        <v>187</v>
      </c>
      <c r="AW4" s="178" t="s">
        <v>186</v>
      </c>
      <c r="AX4" s="179" t="s">
        <v>187</v>
      </c>
      <c r="AY4" s="178" t="s">
        <v>186</v>
      </c>
      <c r="AZ4" s="179" t="s">
        <v>187</v>
      </c>
      <c r="BA4" s="178" t="s">
        <v>186</v>
      </c>
      <c r="BB4" s="179" t="s">
        <v>187</v>
      </c>
      <c r="BC4" s="178" t="s">
        <v>186</v>
      </c>
      <c r="BD4" s="179" t="s">
        <v>187</v>
      </c>
      <c r="BE4" s="178" t="s">
        <v>186</v>
      </c>
      <c r="BF4" s="179" t="s">
        <v>187</v>
      </c>
      <c r="BG4" s="178" t="s">
        <v>186</v>
      </c>
      <c r="BH4" s="179" t="s">
        <v>187</v>
      </c>
      <c r="BI4" s="178" t="s">
        <v>186</v>
      </c>
      <c r="BJ4" s="179" t="s">
        <v>187</v>
      </c>
      <c r="BK4" s="178" t="s">
        <v>186</v>
      </c>
      <c r="BL4" s="179" t="s">
        <v>187</v>
      </c>
      <c r="BM4" s="178" t="s">
        <v>186</v>
      </c>
      <c r="BN4" s="179" t="s">
        <v>187</v>
      </c>
      <c r="BO4" s="180"/>
      <c r="BP4" s="180"/>
      <c r="BQ4" s="180"/>
      <c r="BR4" s="180"/>
    </row>
    <row r="5" spans="2:70" x14ac:dyDescent="0.15">
      <c r="B5" s="142">
        <v>1</v>
      </c>
      <c r="C5" s="502" t="s">
        <v>168</v>
      </c>
      <c r="D5" s="502"/>
      <c r="E5" s="502"/>
      <c r="F5" s="502"/>
      <c r="G5" s="502"/>
      <c r="H5" s="503"/>
      <c r="I5" s="110">
        <v>1</v>
      </c>
      <c r="J5" s="110"/>
      <c r="K5" s="110">
        <v>1</v>
      </c>
      <c r="L5" s="110"/>
      <c r="M5" s="110">
        <v>1</v>
      </c>
      <c r="N5" s="110"/>
      <c r="O5" s="110">
        <v>1</v>
      </c>
      <c r="P5" s="110"/>
      <c r="Q5" s="110">
        <v>1</v>
      </c>
      <c r="R5" s="110"/>
      <c r="S5" s="110">
        <v>1</v>
      </c>
      <c r="T5" s="110"/>
      <c r="U5" s="110">
        <v>1</v>
      </c>
      <c r="V5" s="110"/>
      <c r="W5" s="110">
        <v>1</v>
      </c>
      <c r="X5" s="110"/>
      <c r="Y5" s="110"/>
      <c r="Z5" s="110">
        <v>1</v>
      </c>
      <c r="AA5" s="110">
        <v>1</v>
      </c>
      <c r="AB5" s="110"/>
      <c r="AC5" s="110">
        <v>1</v>
      </c>
      <c r="AD5" s="110"/>
      <c r="AE5" s="110">
        <v>1</v>
      </c>
      <c r="AF5" s="110"/>
      <c r="AG5" s="110">
        <v>1</v>
      </c>
      <c r="AH5" s="110"/>
      <c r="AI5" s="110">
        <v>1</v>
      </c>
      <c r="AJ5" s="110"/>
      <c r="AK5" s="110">
        <v>1</v>
      </c>
      <c r="AL5" s="110"/>
      <c r="AM5" s="110">
        <v>1</v>
      </c>
      <c r="AN5" s="110"/>
      <c r="AO5" s="110">
        <v>1</v>
      </c>
      <c r="AP5" s="110"/>
      <c r="AQ5" s="110">
        <v>1</v>
      </c>
      <c r="AR5" s="110"/>
      <c r="AS5" s="110">
        <v>1</v>
      </c>
      <c r="AT5" s="110"/>
      <c r="AU5" s="188">
        <v>1</v>
      </c>
      <c r="AV5" s="182"/>
      <c r="AW5" s="181">
        <v>1</v>
      </c>
      <c r="AX5" s="182"/>
      <c r="AY5" s="181">
        <v>1</v>
      </c>
      <c r="AZ5" s="182"/>
      <c r="BA5" s="181">
        <v>1</v>
      </c>
      <c r="BB5" s="182"/>
      <c r="BC5" s="181">
        <v>1</v>
      </c>
      <c r="BD5" s="182"/>
      <c r="BE5" s="181">
        <v>1</v>
      </c>
      <c r="BF5" s="182"/>
      <c r="BG5" s="181">
        <v>1</v>
      </c>
      <c r="BH5" s="182"/>
      <c r="BI5" s="181">
        <v>1</v>
      </c>
      <c r="BJ5" s="182"/>
      <c r="BK5" s="181">
        <v>1</v>
      </c>
      <c r="BL5" s="182"/>
      <c r="BM5" s="181">
        <v>1</v>
      </c>
      <c r="BN5" s="182"/>
      <c r="BO5" s="183"/>
      <c r="BP5" s="183"/>
      <c r="BQ5" s="183"/>
      <c r="BR5" s="183"/>
    </row>
    <row r="6" spans="2:70" x14ac:dyDescent="0.15">
      <c r="B6" s="142">
        <v>2</v>
      </c>
      <c r="C6" s="497" t="s">
        <v>169</v>
      </c>
      <c r="D6" s="498"/>
      <c r="E6" s="498"/>
      <c r="F6" s="498"/>
      <c r="G6" s="498"/>
      <c r="H6" s="498"/>
      <c r="I6" s="110">
        <v>1</v>
      </c>
      <c r="J6" s="110"/>
      <c r="K6" s="110">
        <v>1</v>
      </c>
      <c r="L6" s="110"/>
      <c r="M6" s="110">
        <v>1</v>
      </c>
      <c r="N6" s="110"/>
      <c r="O6" s="110">
        <v>1</v>
      </c>
      <c r="P6" s="110"/>
      <c r="Q6" s="110">
        <v>1</v>
      </c>
      <c r="R6" s="110"/>
      <c r="S6" s="110">
        <v>1</v>
      </c>
      <c r="T6" s="110"/>
      <c r="U6" s="110">
        <v>1</v>
      </c>
      <c r="V6" s="110"/>
      <c r="W6" s="110">
        <v>1</v>
      </c>
      <c r="X6" s="110"/>
      <c r="Y6" s="110">
        <v>1</v>
      </c>
      <c r="Z6" s="110"/>
      <c r="AA6" s="110">
        <v>1</v>
      </c>
      <c r="AB6" s="110"/>
      <c r="AC6" s="110">
        <v>1</v>
      </c>
      <c r="AD6" s="110"/>
      <c r="AE6" s="110">
        <v>1</v>
      </c>
      <c r="AF6" s="110"/>
      <c r="AG6" s="110">
        <v>1</v>
      </c>
      <c r="AH6" s="110"/>
      <c r="AI6" s="110">
        <v>1</v>
      </c>
      <c r="AJ6" s="110"/>
      <c r="AK6" s="110"/>
      <c r="AL6" s="110">
        <v>1</v>
      </c>
      <c r="AM6" s="110">
        <v>1</v>
      </c>
      <c r="AN6" s="110"/>
      <c r="AO6" s="110">
        <v>1</v>
      </c>
      <c r="AP6" s="110"/>
      <c r="AQ6" s="110">
        <v>1</v>
      </c>
      <c r="AR6" s="110"/>
      <c r="AS6" s="110">
        <v>1</v>
      </c>
      <c r="AT6" s="110"/>
      <c r="AU6" s="188">
        <v>1</v>
      </c>
      <c r="AV6" s="182"/>
      <c r="AW6" s="181">
        <v>1</v>
      </c>
      <c r="AX6" s="182"/>
      <c r="AY6" s="181">
        <v>1</v>
      </c>
      <c r="AZ6" s="182"/>
      <c r="BA6" s="181">
        <v>1</v>
      </c>
      <c r="BB6" s="182"/>
      <c r="BC6" s="181">
        <v>1</v>
      </c>
      <c r="BD6" s="182"/>
      <c r="BE6" s="181">
        <v>1</v>
      </c>
      <c r="BF6" s="182"/>
      <c r="BG6" s="181">
        <v>1</v>
      </c>
      <c r="BH6" s="182"/>
      <c r="BI6" s="181">
        <v>1</v>
      </c>
      <c r="BJ6" s="182"/>
      <c r="BK6" s="181">
        <v>1</v>
      </c>
      <c r="BL6" s="182"/>
      <c r="BM6" s="181">
        <v>1</v>
      </c>
      <c r="BN6" s="182"/>
      <c r="BO6" s="183"/>
      <c r="BP6" s="183"/>
      <c r="BQ6" s="183"/>
      <c r="BR6" s="183"/>
    </row>
    <row r="7" spans="2:70" x14ac:dyDescent="0.15">
      <c r="B7" s="142">
        <v>3</v>
      </c>
      <c r="C7" s="497" t="s">
        <v>170</v>
      </c>
      <c r="D7" s="498"/>
      <c r="E7" s="498"/>
      <c r="F7" s="498"/>
      <c r="G7" s="498"/>
      <c r="H7" s="498"/>
      <c r="I7" s="110"/>
      <c r="J7" s="110">
        <v>1</v>
      </c>
      <c r="K7" s="110"/>
      <c r="L7" s="110">
        <v>1</v>
      </c>
      <c r="M7" s="110">
        <v>1</v>
      </c>
      <c r="N7" s="110"/>
      <c r="O7" s="110">
        <v>1</v>
      </c>
      <c r="P7" s="110"/>
      <c r="Q7" s="110">
        <v>1</v>
      </c>
      <c r="R7" s="110"/>
      <c r="S7" s="110">
        <v>1</v>
      </c>
      <c r="T7" s="110"/>
      <c r="U7" s="110"/>
      <c r="V7" s="110">
        <v>1</v>
      </c>
      <c r="W7" s="110">
        <v>1</v>
      </c>
      <c r="X7" s="110"/>
      <c r="Y7" s="110"/>
      <c r="Z7" s="110">
        <v>1</v>
      </c>
      <c r="AA7" s="110"/>
      <c r="AB7" s="110">
        <v>1</v>
      </c>
      <c r="AC7" s="110">
        <v>1</v>
      </c>
      <c r="AD7" s="110"/>
      <c r="AE7" s="110">
        <v>1</v>
      </c>
      <c r="AF7" s="110"/>
      <c r="AG7" s="110">
        <v>1</v>
      </c>
      <c r="AH7" s="110"/>
      <c r="AI7" s="110">
        <v>1</v>
      </c>
      <c r="AJ7" s="110"/>
      <c r="AK7" s="110">
        <v>1</v>
      </c>
      <c r="AL7" s="110"/>
      <c r="AM7" s="110"/>
      <c r="AN7" s="110">
        <v>1</v>
      </c>
      <c r="AO7" s="110">
        <v>1</v>
      </c>
      <c r="AP7" s="110"/>
      <c r="AQ7" s="110">
        <v>1</v>
      </c>
      <c r="AR7" s="110"/>
      <c r="AS7" s="110">
        <v>1</v>
      </c>
      <c r="AT7" s="110"/>
      <c r="AU7" s="188">
        <v>1</v>
      </c>
      <c r="AV7" s="182"/>
      <c r="AW7" s="181">
        <v>1</v>
      </c>
      <c r="AX7" s="182"/>
      <c r="AY7" s="181"/>
      <c r="AZ7" s="182">
        <v>1</v>
      </c>
      <c r="BA7" s="181">
        <v>1</v>
      </c>
      <c r="BB7" s="182"/>
      <c r="BC7" s="181">
        <v>1</v>
      </c>
      <c r="BD7" s="182"/>
      <c r="BE7" s="181"/>
      <c r="BF7" s="182">
        <v>1</v>
      </c>
      <c r="BG7" s="181">
        <v>1</v>
      </c>
      <c r="BH7" s="182"/>
      <c r="BI7" s="181">
        <v>1</v>
      </c>
      <c r="BJ7" s="182"/>
      <c r="BK7" s="181">
        <v>1</v>
      </c>
      <c r="BL7" s="182"/>
      <c r="BM7" s="181">
        <v>1</v>
      </c>
      <c r="BN7" s="182"/>
      <c r="BO7" s="183"/>
      <c r="BP7" s="183"/>
      <c r="BQ7" s="183"/>
      <c r="BR7" s="183"/>
    </row>
    <row r="8" spans="2:70" x14ac:dyDescent="0.15">
      <c r="B8" s="142">
        <v>4</v>
      </c>
      <c r="C8" s="497" t="s">
        <v>171</v>
      </c>
      <c r="D8" s="498"/>
      <c r="E8" s="498"/>
      <c r="F8" s="498"/>
      <c r="G8" s="498"/>
      <c r="H8" s="498"/>
      <c r="I8" s="110"/>
      <c r="J8" s="110">
        <v>1</v>
      </c>
      <c r="K8" s="110"/>
      <c r="L8" s="110">
        <v>1</v>
      </c>
      <c r="M8" s="110"/>
      <c r="N8" s="110">
        <v>1</v>
      </c>
      <c r="O8" s="110">
        <v>1</v>
      </c>
      <c r="P8" s="110"/>
      <c r="Q8" s="110">
        <v>1</v>
      </c>
      <c r="R8" s="110"/>
      <c r="S8" s="110">
        <v>1</v>
      </c>
      <c r="T8" s="110"/>
      <c r="U8" s="110">
        <v>1</v>
      </c>
      <c r="V8" s="110"/>
      <c r="W8" s="110">
        <v>1</v>
      </c>
      <c r="X8" s="110"/>
      <c r="Y8" s="110"/>
      <c r="Z8" s="110">
        <v>1</v>
      </c>
      <c r="AA8" s="110"/>
      <c r="AB8" s="110">
        <v>1</v>
      </c>
      <c r="AC8" s="110"/>
      <c r="AD8" s="110">
        <v>1</v>
      </c>
      <c r="AE8" s="110"/>
      <c r="AF8" s="110">
        <v>1</v>
      </c>
      <c r="AG8" s="110">
        <v>1</v>
      </c>
      <c r="AH8" s="110"/>
      <c r="AI8" s="110"/>
      <c r="AJ8" s="110">
        <v>1</v>
      </c>
      <c r="AK8" s="110">
        <v>1</v>
      </c>
      <c r="AL8" s="110"/>
      <c r="AM8" s="110"/>
      <c r="AN8" s="110">
        <v>1</v>
      </c>
      <c r="AO8" s="110">
        <v>1</v>
      </c>
      <c r="AP8" s="110"/>
      <c r="AQ8" s="110">
        <v>1</v>
      </c>
      <c r="AR8" s="110"/>
      <c r="AS8" s="110">
        <v>1</v>
      </c>
      <c r="AT8" s="110"/>
      <c r="AU8" s="188">
        <v>1</v>
      </c>
      <c r="AV8" s="182"/>
      <c r="AW8" s="181">
        <v>1</v>
      </c>
      <c r="AX8" s="182"/>
      <c r="AY8" s="181"/>
      <c r="AZ8" s="182">
        <v>1</v>
      </c>
      <c r="BA8" s="181">
        <v>1</v>
      </c>
      <c r="BB8" s="182"/>
      <c r="BC8" s="181">
        <v>1</v>
      </c>
      <c r="BD8" s="182"/>
      <c r="BE8" s="181"/>
      <c r="BF8" s="182">
        <v>1</v>
      </c>
      <c r="BG8" s="181">
        <v>1</v>
      </c>
      <c r="BH8" s="182"/>
      <c r="BI8" s="181">
        <v>1</v>
      </c>
      <c r="BJ8" s="182"/>
      <c r="BK8" s="181">
        <v>1</v>
      </c>
      <c r="BL8" s="182"/>
      <c r="BM8" s="181">
        <v>1</v>
      </c>
      <c r="BN8" s="182"/>
      <c r="BO8" s="183"/>
      <c r="BP8" s="183"/>
      <c r="BQ8" s="183"/>
      <c r="BR8" s="183"/>
    </row>
    <row r="9" spans="2:70" x14ac:dyDescent="0.15">
      <c r="B9" s="142">
        <v>5</v>
      </c>
      <c r="C9" s="497" t="s">
        <v>172</v>
      </c>
      <c r="D9" s="498"/>
      <c r="E9" s="498"/>
      <c r="F9" s="498"/>
      <c r="G9" s="498"/>
      <c r="H9" s="498"/>
      <c r="I9" s="110"/>
      <c r="J9" s="110">
        <v>1</v>
      </c>
      <c r="K9" s="110"/>
      <c r="L9" s="110">
        <v>1</v>
      </c>
      <c r="M9" s="110">
        <v>1</v>
      </c>
      <c r="N9" s="110"/>
      <c r="O9" s="110">
        <v>1</v>
      </c>
      <c r="P9" s="110"/>
      <c r="Q9" s="110">
        <v>1</v>
      </c>
      <c r="R9" s="110"/>
      <c r="S9" s="110">
        <v>1</v>
      </c>
      <c r="T9" s="110"/>
      <c r="U9" s="110">
        <v>1</v>
      </c>
      <c r="V9" s="110"/>
      <c r="W9" s="110">
        <v>1</v>
      </c>
      <c r="X9" s="110"/>
      <c r="Y9" s="110">
        <v>1</v>
      </c>
      <c r="Z9" s="110"/>
      <c r="AA9" s="110">
        <v>1</v>
      </c>
      <c r="AB9" s="110"/>
      <c r="AC9" s="110"/>
      <c r="AD9" s="110">
        <v>1</v>
      </c>
      <c r="AE9" s="110">
        <v>1</v>
      </c>
      <c r="AF9" s="110"/>
      <c r="AG9" s="110">
        <v>1</v>
      </c>
      <c r="AH9" s="110"/>
      <c r="AI9" s="110">
        <v>1</v>
      </c>
      <c r="AJ9" s="110"/>
      <c r="AK9" s="110">
        <v>1</v>
      </c>
      <c r="AL9" s="110"/>
      <c r="AM9" s="110">
        <v>1</v>
      </c>
      <c r="AN9" s="110"/>
      <c r="AO9" s="110">
        <v>1</v>
      </c>
      <c r="AP9" s="110"/>
      <c r="AQ9" s="110">
        <v>1</v>
      </c>
      <c r="AR9" s="110"/>
      <c r="AS9" s="110">
        <v>1</v>
      </c>
      <c r="AT9" s="110"/>
      <c r="AU9" s="188">
        <v>1</v>
      </c>
      <c r="AV9" s="182"/>
      <c r="AW9" s="181">
        <v>1</v>
      </c>
      <c r="AX9" s="182"/>
      <c r="AY9" s="181"/>
      <c r="AZ9" s="182">
        <v>1</v>
      </c>
      <c r="BA9" s="181">
        <v>1</v>
      </c>
      <c r="BB9" s="182"/>
      <c r="BC9" s="181">
        <v>1</v>
      </c>
      <c r="BD9" s="182"/>
      <c r="BE9" s="181"/>
      <c r="BF9" s="182">
        <v>1</v>
      </c>
      <c r="BG9" s="181">
        <v>1</v>
      </c>
      <c r="BH9" s="182"/>
      <c r="BI9" s="181">
        <v>1</v>
      </c>
      <c r="BJ9" s="182"/>
      <c r="BK9" s="181">
        <v>1</v>
      </c>
      <c r="BL9" s="182"/>
      <c r="BM9" s="181">
        <v>1</v>
      </c>
      <c r="BN9" s="182"/>
      <c r="BO9" s="183"/>
      <c r="BP9" s="183"/>
      <c r="BQ9" s="183"/>
      <c r="BR9" s="183"/>
    </row>
    <row r="10" spans="2:70" x14ac:dyDescent="0.15">
      <c r="B10" s="142">
        <v>6</v>
      </c>
      <c r="C10" s="497" t="s">
        <v>173</v>
      </c>
      <c r="D10" s="498"/>
      <c r="E10" s="498"/>
      <c r="F10" s="498"/>
      <c r="G10" s="498"/>
      <c r="H10" s="498"/>
      <c r="I10" s="110">
        <v>1</v>
      </c>
      <c r="J10" s="110"/>
      <c r="K10" s="110">
        <v>1</v>
      </c>
      <c r="L10" s="110"/>
      <c r="M10" s="110"/>
      <c r="N10" s="110">
        <v>1</v>
      </c>
      <c r="O10" s="110">
        <v>1</v>
      </c>
      <c r="P10" s="110"/>
      <c r="Q10" s="110">
        <v>1</v>
      </c>
      <c r="R10" s="110"/>
      <c r="S10" s="110"/>
      <c r="T10" s="110">
        <v>1</v>
      </c>
      <c r="U10" s="110">
        <v>1</v>
      </c>
      <c r="V10" s="110"/>
      <c r="W10" s="110">
        <v>1</v>
      </c>
      <c r="X10" s="110"/>
      <c r="Y10" s="110">
        <v>1</v>
      </c>
      <c r="Z10" s="110"/>
      <c r="AA10" s="110">
        <v>1</v>
      </c>
      <c r="AB10" s="110"/>
      <c r="AC10" s="110">
        <v>1</v>
      </c>
      <c r="AD10" s="110"/>
      <c r="AE10" s="110">
        <v>1</v>
      </c>
      <c r="AF10" s="110"/>
      <c r="AG10" s="110"/>
      <c r="AH10" s="110">
        <v>1</v>
      </c>
      <c r="AI10" s="110">
        <v>1</v>
      </c>
      <c r="AJ10" s="110"/>
      <c r="AK10" s="110">
        <v>1</v>
      </c>
      <c r="AL10" s="110"/>
      <c r="AM10" s="110"/>
      <c r="AN10" s="110">
        <v>1</v>
      </c>
      <c r="AO10" s="110">
        <v>1</v>
      </c>
      <c r="AP10" s="110"/>
      <c r="AQ10" s="110">
        <v>1</v>
      </c>
      <c r="AR10" s="110"/>
      <c r="AS10" s="110">
        <v>1</v>
      </c>
      <c r="AT10" s="110"/>
      <c r="AU10" s="188">
        <v>1</v>
      </c>
      <c r="AV10" s="182"/>
      <c r="AW10" s="181">
        <v>1</v>
      </c>
      <c r="AX10" s="182"/>
      <c r="AY10" s="181"/>
      <c r="AZ10" s="182">
        <v>1</v>
      </c>
      <c r="BA10" s="181">
        <v>1</v>
      </c>
      <c r="BB10" s="182"/>
      <c r="BC10" s="181">
        <v>1</v>
      </c>
      <c r="BD10" s="182"/>
      <c r="BE10" s="181"/>
      <c r="BF10" s="182">
        <v>1</v>
      </c>
      <c r="BG10" s="181">
        <v>1</v>
      </c>
      <c r="BH10" s="182"/>
      <c r="BI10" s="181">
        <v>1</v>
      </c>
      <c r="BJ10" s="182"/>
      <c r="BK10" s="181">
        <v>1</v>
      </c>
      <c r="BL10" s="182"/>
      <c r="BM10" s="181">
        <v>1</v>
      </c>
      <c r="BN10" s="182"/>
      <c r="BO10" s="183"/>
      <c r="BP10" s="183"/>
      <c r="BQ10" s="183"/>
      <c r="BR10" s="183"/>
    </row>
    <row r="11" spans="2:70" x14ac:dyDescent="0.15">
      <c r="B11" s="142">
        <v>7</v>
      </c>
      <c r="C11" s="497" t="s">
        <v>174</v>
      </c>
      <c r="D11" s="498"/>
      <c r="E11" s="498"/>
      <c r="F11" s="498"/>
      <c r="G11" s="498"/>
      <c r="H11" s="498"/>
      <c r="I11" s="110">
        <v>1</v>
      </c>
      <c r="J11" s="110"/>
      <c r="K11" s="110">
        <v>1</v>
      </c>
      <c r="L11" s="110"/>
      <c r="M11" s="110">
        <v>1</v>
      </c>
      <c r="N11" s="110"/>
      <c r="O11" s="110">
        <v>1</v>
      </c>
      <c r="P11" s="110"/>
      <c r="Q11" s="110">
        <v>1</v>
      </c>
      <c r="R11" s="110"/>
      <c r="S11" s="110">
        <v>1</v>
      </c>
      <c r="T11" s="110"/>
      <c r="U11" s="110"/>
      <c r="V11" s="110">
        <v>1</v>
      </c>
      <c r="W11" s="110">
        <v>1</v>
      </c>
      <c r="X11" s="110"/>
      <c r="Y11" s="110"/>
      <c r="Z11" s="110">
        <v>1</v>
      </c>
      <c r="AA11" s="110"/>
      <c r="AB11" s="110">
        <v>1</v>
      </c>
      <c r="AC11" s="110"/>
      <c r="AD11" s="110">
        <v>1</v>
      </c>
      <c r="AE11" s="110">
        <v>1</v>
      </c>
      <c r="AF11" s="110"/>
      <c r="AG11" s="110"/>
      <c r="AH11" s="110">
        <v>1</v>
      </c>
      <c r="AI11" s="110"/>
      <c r="AJ11" s="110">
        <v>1</v>
      </c>
      <c r="AK11" s="110">
        <v>1</v>
      </c>
      <c r="AL11" s="110"/>
      <c r="AM11" s="110"/>
      <c r="AN11" s="110">
        <v>1</v>
      </c>
      <c r="AO11" s="110">
        <v>1</v>
      </c>
      <c r="AP11" s="110"/>
      <c r="AQ11" s="110"/>
      <c r="AR11" s="110">
        <v>1</v>
      </c>
      <c r="AS11" s="110">
        <v>1</v>
      </c>
      <c r="AT11" s="110"/>
      <c r="AU11" s="188">
        <v>1</v>
      </c>
      <c r="AV11" s="182"/>
      <c r="AW11" s="181">
        <v>1</v>
      </c>
      <c r="AX11" s="182"/>
      <c r="AY11" s="181"/>
      <c r="AZ11" s="182">
        <v>1</v>
      </c>
      <c r="BA11" s="181">
        <v>1</v>
      </c>
      <c r="BB11" s="182"/>
      <c r="BC11" s="181">
        <v>1</v>
      </c>
      <c r="BD11" s="182"/>
      <c r="BE11" s="181"/>
      <c r="BF11" s="182">
        <v>1</v>
      </c>
      <c r="BG11" s="181">
        <v>1</v>
      </c>
      <c r="BH11" s="182"/>
      <c r="BI11" s="181">
        <v>1</v>
      </c>
      <c r="BJ11" s="182"/>
      <c r="BK11" s="181">
        <v>1</v>
      </c>
      <c r="BL11" s="182"/>
      <c r="BM11" s="181">
        <v>1</v>
      </c>
      <c r="BN11" s="182"/>
      <c r="BO11" s="183"/>
      <c r="BP11" s="183"/>
      <c r="BQ11" s="183"/>
      <c r="BR11" s="183"/>
    </row>
    <row r="12" spans="2:70" ht="11.25" customHeight="1" x14ac:dyDescent="0.15">
      <c r="B12" s="142">
        <v>8</v>
      </c>
      <c r="C12" s="497" t="s">
        <v>175</v>
      </c>
      <c r="D12" s="498"/>
      <c r="E12" s="498"/>
      <c r="F12" s="498"/>
      <c r="G12" s="498"/>
      <c r="H12" s="498"/>
      <c r="I12" s="110"/>
      <c r="J12" s="110">
        <v>1</v>
      </c>
      <c r="K12" s="110"/>
      <c r="L12" s="110">
        <v>1</v>
      </c>
      <c r="M12" s="110">
        <v>1</v>
      </c>
      <c r="N12" s="110"/>
      <c r="O12" s="110"/>
      <c r="P12" s="110">
        <v>1</v>
      </c>
      <c r="Q12" s="110"/>
      <c r="R12" s="110">
        <v>1</v>
      </c>
      <c r="S12" s="110">
        <v>1</v>
      </c>
      <c r="T12" s="110"/>
      <c r="U12" s="110"/>
      <c r="V12" s="110">
        <v>1</v>
      </c>
      <c r="W12" s="110"/>
      <c r="X12" s="110">
        <v>1</v>
      </c>
      <c r="Y12" s="110"/>
      <c r="Z12" s="110">
        <v>1</v>
      </c>
      <c r="AA12" s="110"/>
      <c r="AB12" s="110">
        <v>1</v>
      </c>
      <c r="AC12" s="110"/>
      <c r="AD12" s="110">
        <v>1</v>
      </c>
      <c r="AE12" s="110"/>
      <c r="AF12" s="110">
        <v>1</v>
      </c>
      <c r="AG12" s="110"/>
      <c r="AH12" s="110">
        <v>1</v>
      </c>
      <c r="AI12" s="110"/>
      <c r="AJ12" s="110">
        <v>1</v>
      </c>
      <c r="AK12" s="110"/>
      <c r="AL12" s="110">
        <v>1</v>
      </c>
      <c r="AM12" s="110"/>
      <c r="AN12" s="110">
        <v>1</v>
      </c>
      <c r="AO12" s="110">
        <v>1</v>
      </c>
      <c r="AP12" s="110"/>
      <c r="AQ12" s="110"/>
      <c r="AR12" s="110">
        <v>1</v>
      </c>
      <c r="AS12" s="110">
        <v>1</v>
      </c>
      <c r="AT12" s="110"/>
      <c r="AU12" s="188"/>
      <c r="AV12" s="182">
        <v>1</v>
      </c>
      <c r="AW12" s="181"/>
      <c r="AX12" s="182">
        <v>1</v>
      </c>
      <c r="AY12" s="181"/>
      <c r="AZ12" s="182">
        <v>1</v>
      </c>
      <c r="BA12" s="181"/>
      <c r="BB12" s="182">
        <v>1</v>
      </c>
      <c r="BC12" s="181"/>
      <c r="BD12" s="182">
        <v>1</v>
      </c>
      <c r="BE12" s="181"/>
      <c r="BF12" s="182">
        <v>1</v>
      </c>
      <c r="BG12" s="181">
        <v>1</v>
      </c>
      <c r="BH12" s="182"/>
      <c r="BI12" s="181"/>
      <c r="BJ12" s="182">
        <v>1</v>
      </c>
      <c r="BK12" s="181"/>
      <c r="BL12" s="182">
        <v>1</v>
      </c>
      <c r="BM12" s="181"/>
      <c r="BN12" s="182">
        <v>1</v>
      </c>
      <c r="BO12" s="183"/>
      <c r="BP12" s="183"/>
      <c r="BQ12" s="183"/>
      <c r="BR12" s="183"/>
    </row>
    <row r="13" spans="2:70" x14ac:dyDescent="0.15">
      <c r="B13" s="142">
        <v>9</v>
      </c>
      <c r="C13" s="497" t="s">
        <v>176</v>
      </c>
      <c r="D13" s="498"/>
      <c r="E13" s="498"/>
      <c r="F13" s="498"/>
      <c r="G13" s="498"/>
      <c r="H13" s="498"/>
      <c r="I13" s="110"/>
      <c r="J13" s="110">
        <v>1</v>
      </c>
      <c r="K13" s="110"/>
      <c r="L13" s="110">
        <v>1</v>
      </c>
      <c r="M13" s="110"/>
      <c r="N13" s="110">
        <v>1</v>
      </c>
      <c r="O13" s="110">
        <v>1</v>
      </c>
      <c r="P13" s="110"/>
      <c r="Q13" s="110"/>
      <c r="R13" s="110">
        <v>1</v>
      </c>
      <c r="S13" s="110"/>
      <c r="T13" s="110">
        <v>1</v>
      </c>
      <c r="U13" s="110"/>
      <c r="V13" s="110">
        <v>1</v>
      </c>
      <c r="W13" s="110"/>
      <c r="X13" s="110">
        <v>1</v>
      </c>
      <c r="Y13" s="110">
        <v>1</v>
      </c>
      <c r="Z13" s="110"/>
      <c r="AA13" s="110">
        <v>1</v>
      </c>
      <c r="AB13" s="110"/>
      <c r="AC13" s="110"/>
      <c r="AD13" s="110">
        <v>1</v>
      </c>
      <c r="AE13" s="110"/>
      <c r="AF13" s="110">
        <v>1</v>
      </c>
      <c r="AG13" s="110"/>
      <c r="AH13" s="110">
        <v>1</v>
      </c>
      <c r="AI13" s="110"/>
      <c r="AJ13" s="110">
        <v>1</v>
      </c>
      <c r="AK13" s="110">
        <v>1</v>
      </c>
      <c r="AL13" s="110"/>
      <c r="AM13" s="110"/>
      <c r="AN13" s="110">
        <v>1</v>
      </c>
      <c r="AO13" s="110">
        <v>1</v>
      </c>
      <c r="AP13" s="110"/>
      <c r="AQ13" s="110">
        <v>1</v>
      </c>
      <c r="AR13" s="110"/>
      <c r="AS13" s="110">
        <v>1</v>
      </c>
      <c r="AT13" s="110"/>
      <c r="AU13" s="188"/>
      <c r="AV13" s="182">
        <v>1</v>
      </c>
      <c r="AW13" s="181"/>
      <c r="AX13" s="182">
        <v>1</v>
      </c>
      <c r="AY13" s="181"/>
      <c r="AZ13" s="182">
        <v>1</v>
      </c>
      <c r="BA13" s="181">
        <v>1</v>
      </c>
      <c r="BB13" s="182"/>
      <c r="BC13" s="181">
        <v>1</v>
      </c>
      <c r="BD13" s="182"/>
      <c r="BE13" s="181">
        <v>1</v>
      </c>
      <c r="BF13" s="182"/>
      <c r="BG13" s="181"/>
      <c r="BH13" s="182">
        <v>1</v>
      </c>
      <c r="BI13" s="181"/>
      <c r="BJ13" s="182">
        <v>1</v>
      </c>
      <c r="BK13" s="181"/>
      <c r="BL13" s="182">
        <v>1</v>
      </c>
      <c r="BM13" s="181"/>
      <c r="BN13" s="182">
        <v>1</v>
      </c>
      <c r="BO13" s="183"/>
      <c r="BP13" s="183"/>
      <c r="BQ13" s="183"/>
      <c r="BR13" s="183"/>
    </row>
    <row r="14" spans="2:70" x14ac:dyDescent="0.15">
      <c r="B14" s="142">
        <v>10</v>
      </c>
      <c r="C14" s="497" t="s">
        <v>177</v>
      </c>
      <c r="D14" s="498"/>
      <c r="E14" s="498"/>
      <c r="F14" s="498"/>
      <c r="G14" s="498"/>
      <c r="H14" s="498"/>
      <c r="I14" s="110">
        <v>1</v>
      </c>
      <c r="J14" s="110"/>
      <c r="K14" s="110">
        <v>1</v>
      </c>
      <c r="L14" s="110"/>
      <c r="M14" s="110"/>
      <c r="N14" s="110">
        <v>1</v>
      </c>
      <c r="O14" s="110">
        <v>1</v>
      </c>
      <c r="P14" s="110"/>
      <c r="Q14" s="110">
        <v>1</v>
      </c>
      <c r="R14" s="110"/>
      <c r="S14" s="110">
        <v>1</v>
      </c>
      <c r="T14" s="110"/>
      <c r="U14" s="110">
        <v>1</v>
      </c>
      <c r="V14" s="110"/>
      <c r="W14" s="110">
        <v>1</v>
      </c>
      <c r="X14" s="110"/>
      <c r="Y14" s="110">
        <v>1</v>
      </c>
      <c r="Z14" s="110"/>
      <c r="AA14" s="110">
        <v>1</v>
      </c>
      <c r="AB14" s="110"/>
      <c r="AC14" s="110">
        <v>1</v>
      </c>
      <c r="AD14" s="110"/>
      <c r="AE14" s="110">
        <v>1</v>
      </c>
      <c r="AF14" s="110"/>
      <c r="AG14" s="110">
        <v>1</v>
      </c>
      <c r="AH14" s="110"/>
      <c r="AI14" s="110">
        <v>1</v>
      </c>
      <c r="AJ14" s="110"/>
      <c r="AK14" s="110">
        <v>1</v>
      </c>
      <c r="AL14" s="110"/>
      <c r="AM14" s="110">
        <v>1</v>
      </c>
      <c r="AN14" s="110"/>
      <c r="AO14" s="110">
        <v>1</v>
      </c>
      <c r="AP14" s="110"/>
      <c r="AQ14" s="110">
        <v>1</v>
      </c>
      <c r="AR14" s="110"/>
      <c r="AS14" s="110">
        <v>1</v>
      </c>
      <c r="AT14" s="110"/>
      <c r="AU14" s="188">
        <v>1</v>
      </c>
      <c r="AV14" s="182"/>
      <c r="AW14" s="181">
        <v>1</v>
      </c>
      <c r="AX14" s="182"/>
      <c r="AY14" s="181">
        <v>1</v>
      </c>
      <c r="AZ14" s="182"/>
      <c r="BA14" s="181">
        <v>1</v>
      </c>
      <c r="BB14" s="182"/>
      <c r="BC14" s="181">
        <v>1</v>
      </c>
      <c r="BD14" s="182"/>
      <c r="BE14" s="181"/>
      <c r="BF14" s="182">
        <v>1</v>
      </c>
      <c r="BG14" s="181">
        <v>1</v>
      </c>
      <c r="BH14" s="182"/>
      <c r="BI14" s="181">
        <v>1</v>
      </c>
      <c r="BJ14" s="182"/>
      <c r="BK14" s="181">
        <v>1</v>
      </c>
      <c r="BL14" s="182"/>
      <c r="BM14" s="181">
        <v>1</v>
      </c>
      <c r="BN14" s="182"/>
      <c r="BO14" s="183"/>
      <c r="BP14" s="183"/>
      <c r="BQ14" s="183"/>
      <c r="BR14" s="183"/>
    </row>
    <row r="15" spans="2:70" x14ac:dyDescent="0.15">
      <c r="B15" s="142">
        <v>11</v>
      </c>
      <c r="C15" s="497" t="s">
        <v>178</v>
      </c>
      <c r="D15" s="498"/>
      <c r="E15" s="498"/>
      <c r="F15" s="498"/>
      <c r="G15" s="498"/>
      <c r="H15" s="498"/>
      <c r="I15" s="110">
        <v>1</v>
      </c>
      <c r="J15" s="110"/>
      <c r="K15" s="110">
        <v>1</v>
      </c>
      <c r="L15" s="110"/>
      <c r="M15" s="110">
        <v>1</v>
      </c>
      <c r="N15" s="110"/>
      <c r="O15" s="110">
        <v>1</v>
      </c>
      <c r="P15" s="110"/>
      <c r="Q15" s="110">
        <v>1</v>
      </c>
      <c r="R15" s="110"/>
      <c r="S15" s="110">
        <v>1</v>
      </c>
      <c r="T15" s="110"/>
      <c r="U15" s="110">
        <v>1</v>
      </c>
      <c r="V15" s="110"/>
      <c r="W15" s="110">
        <v>1</v>
      </c>
      <c r="X15" s="110"/>
      <c r="Y15" s="110">
        <v>1</v>
      </c>
      <c r="Z15" s="110"/>
      <c r="AA15" s="110">
        <v>1</v>
      </c>
      <c r="AB15" s="110"/>
      <c r="AC15" s="110">
        <v>1</v>
      </c>
      <c r="AD15" s="110"/>
      <c r="AE15" s="110">
        <v>1</v>
      </c>
      <c r="AF15" s="110"/>
      <c r="AG15" s="110">
        <v>1</v>
      </c>
      <c r="AH15" s="110"/>
      <c r="AI15" s="110">
        <v>1</v>
      </c>
      <c r="AJ15" s="110"/>
      <c r="AK15" s="110">
        <v>1</v>
      </c>
      <c r="AL15" s="110"/>
      <c r="AM15" s="110">
        <v>1</v>
      </c>
      <c r="AN15" s="110"/>
      <c r="AO15" s="110">
        <v>1</v>
      </c>
      <c r="AP15" s="110"/>
      <c r="AQ15" s="110">
        <v>1</v>
      </c>
      <c r="AR15" s="110"/>
      <c r="AS15" s="110">
        <v>1</v>
      </c>
      <c r="AT15" s="110"/>
      <c r="AU15" s="188">
        <v>1</v>
      </c>
      <c r="AV15" s="182"/>
      <c r="AW15" s="181">
        <v>1</v>
      </c>
      <c r="AX15" s="182"/>
      <c r="AY15" s="181">
        <v>1</v>
      </c>
      <c r="AZ15" s="182"/>
      <c r="BA15" s="181">
        <v>1</v>
      </c>
      <c r="BB15" s="182"/>
      <c r="BC15" s="181">
        <v>1</v>
      </c>
      <c r="BD15" s="182"/>
      <c r="BE15" s="181"/>
      <c r="BF15" s="182">
        <v>1</v>
      </c>
      <c r="BG15" s="181">
        <v>1</v>
      </c>
      <c r="BH15" s="182"/>
      <c r="BI15" s="181">
        <v>1</v>
      </c>
      <c r="BJ15" s="182"/>
      <c r="BK15" s="181">
        <v>1</v>
      </c>
      <c r="BL15" s="182"/>
      <c r="BM15" s="181">
        <v>1</v>
      </c>
      <c r="BN15" s="182"/>
      <c r="BO15" s="183"/>
      <c r="BP15" s="183"/>
      <c r="BQ15" s="183"/>
      <c r="BR15" s="183"/>
    </row>
    <row r="16" spans="2:70" x14ac:dyDescent="0.15">
      <c r="B16" s="142">
        <v>12</v>
      </c>
      <c r="C16" s="497" t="s">
        <v>179</v>
      </c>
      <c r="D16" s="498"/>
      <c r="E16" s="498"/>
      <c r="F16" s="498"/>
      <c r="G16" s="498"/>
      <c r="H16" s="498"/>
      <c r="I16" s="110">
        <v>1</v>
      </c>
      <c r="J16" s="110"/>
      <c r="K16" s="110">
        <v>1</v>
      </c>
      <c r="L16" s="110"/>
      <c r="M16" s="110">
        <v>1</v>
      </c>
      <c r="N16" s="110"/>
      <c r="O16" s="110">
        <v>1</v>
      </c>
      <c r="P16" s="110"/>
      <c r="Q16" s="110">
        <v>1</v>
      </c>
      <c r="R16" s="110"/>
      <c r="S16" s="110">
        <v>1</v>
      </c>
      <c r="T16" s="110"/>
      <c r="U16" s="110">
        <v>1</v>
      </c>
      <c r="V16" s="110"/>
      <c r="W16" s="110">
        <v>1</v>
      </c>
      <c r="X16" s="110"/>
      <c r="Y16" s="110"/>
      <c r="Z16" s="110">
        <v>1</v>
      </c>
      <c r="AA16" s="110">
        <v>1</v>
      </c>
      <c r="AB16" s="110"/>
      <c r="AC16" s="110">
        <v>1</v>
      </c>
      <c r="AD16" s="110"/>
      <c r="AE16" s="110">
        <v>1</v>
      </c>
      <c r="AF16" s="110"/>
      <c r="AG16" s="110">
        <v>1</v>
      </c>
      <c r="AH16" s="110"/>
      <c r="AI16" s="110">
        <v>1</v>
      </c>
      <c r="AJ16" s="110"/>
      <c r="AK16" s="110">
        <v>1</v>
      </c>
      <c r="AL16" s="110"/>
      <c r="AM16" s="110">
        <v>1</v>
      </c>
      <c r="AN16" s="110"/>
      <c r="AO16" s="110">
        <v>1</v>
      </c>
      <c r="AP16" s="110"/>
      <c r="AQ16" s="110">
        <v>1</v>
      </c>
      <c r="AR16" s="110"/>
      <c r="AS16" s="110">
        <v>1</v>
      </c>
      <c r="AT16" s="110"/>
      <c r="AU16" s="188">
        <v>1</v>
      </c>
      <c r="AV16" s="182"/>
      <c r="AW16" s="181">
        <v>1</v>
      </c>
      <c r="AX16" s="182"/>
      <c r="AY16" s="181">
        <v>1</v>
      </c>
      <c r="AZ16" s="182"/>
      <c r="BA16" s="181">
        <v>1</v>
      </c>
      <c r="BB16" s="182"/>
      <c r="BC16" s="181">
        <v>1</v>
      </c>
      <c r="BD16" s="182"/>
      <c r="BE16" s="181"/>
      <c r="BF16" s="182">
        <v>1</v>
      </c>
      <c r="BG16" s="181">
        <v>1</v>
      </c>
      <c r="BH16" s="182"/>
      <c r="BI16" s="181">
        <v>1</v>
      </c>
      <c r="BJ16" s="182"/>
      <c r="BK16" s="181">
        <v>1</v>
      </c>
      <c r="BL16" s="182"/>
      <c r="BM16" s="181">
        <v>1</v>
      </c>
      <c r="BN16" s="182"/>
      <c r="BO16" s="183"/>
      <c r="BP16" s="183"/>
      <c r="BQ16" s="183"/>
      <c r="BR16" s="183"/>
    </row>
    <row r="17" spans="2:70" x14ac:dyDescent="0.15">
      <c r="B17" s="142">
        <v>13</v>
      </c>
      <c r="C17" s="497" t="s">
        <v>180</v>
      </c>
      <c r="D17" s="498"/>
      <c r="E17" s="498"/>
      <c r="F17" s="498"/>
      <c r="G17" s="498"/>
      <c r="H17" s="498"/>
      <c r="I17" s="110"/>
      <c r="J17" s="110">
        <v>1</v>
      </c>
      <c r="K17" s="110"/>
      <c r="L17" s="110">
        <v>1</v>
      </c>
      <c r="M17" s="110"/>
      <c r="N17" s="110">
        <v>1</v>
      </c>
      <c r="O17" s="110">
        <v>1</v>
      </c>
      <c r="P17" s="110"/>
      <c r="Q17" s="110">
        <v>1</v>
      </c>
      <c r="R17" s="110"/>
      <c r="S17" s="110">
        <v>1</v>
      </c>
      <c r="T17" s="110"/>
      <c r="U17" s="110">
        <v>1</v>
      </c>
      <c r="V17" s="110"/>
      <c r="W17" s="110">
        <v>1</v>
      </c>
      <c r="X17" s="110"/>
      <c r="Y17" s="110">
        <v>1</v>
      </c>
      <c r="Z17" s="110"/>
      <c r="AA17" s="110">
        <v>1</v>
      </c>
      <c r="AB17" s="110"/>
      <c r="AC17" s="110">
        <v>1</v>
      </c>
      <c r="AD17" s="110"/>
      <c r="AE17" s="110"/>
      <c r="AF17" s="110">
        <v>1</v>
      </c>
      <c r="AG17" s="110">
        <v>1</v>
      </c>
      <c r="AH17" s="110"/>
      <c r="AI17" s="110"/>
      <c r="AJ17" s="110">
        <v>1</v>
      </c>
      <c r="AK17" s="110">
        <v>1</v>
      </c>
      <c r="AL17" s="110"/>
      <c r="AM17" s="110"/>
      <c r="AN17" s="110">
        <v>1</v>
      </c>
      <c r="AO17" s="110">
        <v>1</v>
      </c>
      <c r="AP17" s="110"/>
      <c r="AQ17" s="110">
        <v>1</v>
      </c>
      <c r="AR17" s="110"/>
      <c r="AS17" s="110">
        <v>1</v>
      </c>
      <c r="AT17" s="110"/>
      <c r="AU17" s="188"/>
      <c r="AV17" s="182">
        <v>1</v>
      </c>
      <c r="AW17" s="181"/>
      <c r="AX17" s="182">
        <v>1</v>
      </c>
      <c r="AY17" s="181"/>
      <c r="AZ17" s="182">
        <v>1</v>
      </c>
      <c r="BA17" s="181">
        <v>1</v>
      </c>
      <c r="BB17" s="182"/>
      <c r="BC17" s="181"/>
      <c r="BD17" s="182">
        <v>1</v>
      </c>
      <c r="BE17" s="181"/>
      <c r="BF17" s="182">
        <v>1</v>
      </c>
      <c r="BG17" s="181">
        <v>1</v>
      </c>
      <c r="BH17" s="182"/>
      <c r="BI17" s="181">
        <v>1</v>
      </c>
      <c r="BJ17" s="182"/>
      <c r="BK17" s="181">
        <v>1</v>
      </c>
      <c r="BL17" s="182"/>
      <c r="BM17" s="182">
        <v>1</v>
      </c>
      <c r="BN17" s="182"/>
      <c r="BO17" s="183"/>
      <c r="BP17" s="183"/>
      <c r="BQ17" s="183"/>
      <c r="BR17" s="183"/>
    </row>
    <row r="18" spans="2:70" x14ac:dyDescent="0.15">
      <c r="B18" s="142">
        <v>14</v>
      </c>
      <c r="C18" s="497" t="s">
        <v>200</v>
      </c>
      <c r="D18" s="498"/>
      <c r="E18" s="498"/>
      <c r="F18" s="498"/>
      <c r="G18" s="498"/>
      <c r="H18" s="498"/>
      <c r="I18" s="110"/>
      <c r="J18" s="110">
        <v>1</v>
      </c>
      <c r="K18" s="110"/>
      <c r="L18" s="110">
        <v>1</v>
      </c>
      <c r="M18" s="110"/>
      <c r="N18" s="110">
        <v>1</v>
      </c>
      <c r="O18" s="110">
        <v>1</v>
      </c>
      <c r="P18" s="110"/>
      <c r="Q18" s="110">
        <v>1</v>
      </c>
      <c r="R18" s="110"/>
      <c r="S18" s="110">
        <v>1</v>
      </c>
      <c r="T18" s="110"/>
      <c r="U18" s="110">
        <v>1</v>
      </c>
      <c r="V18" s="110"/>
      <c r="W18" s="110">
        <v>1</v>
      </c>
      <c r="X18" s="110"/>
      <c r="Y18" s="110"/>
      <c r="Z18" s="110">
        <v>1</v>
      </c>
      <c r="AA18" s="110">
        <v>1</v>
      </c>
      <c r="AB18" s="110"/>
      <c r="AC18" s="110">
        <v>1</v>
      </c>
      <c r="AD18" s="110"/>
      <c r="AE18" s="110"/>
      <c r="AF18" s="110">
        <v>1</v>
      </c>
      <c r="AG18" s="110"/>
      <c r="AH18" s="110">
        <v>1</v>
      </c>
      <c r="AI18" s="110"/>
      <c r="AJ18" s="110">
        <v>1</v>
      </c>
      <c r="AK18" s="110">
        <v>1</v>
      </c>
      <c r="AL18" s="110"/>
      <c r="AM18" s="110"/>
      <c r="AN18" s="110">
        <v>1</v>
      </c>
      <c r="AO18" s="110"/>
      <c r="AP18" s="110">
        <v>1</v>
      </c>
      <c r="AQ18" s="110"/>
      <c r="AR18" s="110">
        <v>1</v>
      </c>
      <c r="AS18" s="110"/>
      <c r="AT18" s="110">
        <v>1</v>
      </c>
      <c r="AU18" s="188"/>
      <c r="AV18" s="182">
        <v>1</v>
      </c>
      <c r="AW18" s="181">
        <v>1</v>
      </c>
      <c r="AX18" s="182"/>
      <c r="AY18" s="181">
        <v>1</v>
      </c>
      <c r="AZ18" s="182"/>
      <c r="BA18" s="181"/>
      <c r="BB18" s="182">
        <v>1</v>
      </c>
      <c r="BC18" s="181"/>
      <c r="BD18" s="182">
        <v>1</v>
      </c>
      <c r="BE18" s="181"/>
      <c r="BF18" s="182">
        <v>1</v>
      </c>
      <c r="BG18" s="181">
        <v>1</v>
      </c>
      <c r="BH18" s="182"/>
      <c r="BI18" s="181">
        <v>1</v>
      </c>
      <c r="BJ18" s="182"/>
      <c r="BK18" s="181">
        <v>1</v>
      </c>
      <c r="BL18" s="182"/>
      <c r="BM18" s="182">
        <v>1</v>
      </c>
      <c r="BN18" s="182"/>
      <c r="BO18" s="183"/>
      <c r="BP18" s="183"/>
      <c r="BQ18" s="183"/>
      <c r="BR18" s="183"/>
    </row>
    <row r="19" spans="2:70" x14ac:dyDescent="0.15">
      <c r="B19" s="142">
        <v>15</v>
      </c>
      <c r="C19" s="497" t="s">
        <v>181</v>
      </c>
      <c r="D19" s="498"/>
      <c r="E19" s="498"/>
      <c r="F19" s="498"/>
      <c r="G19" s="498"/>
      <c r="H19" s="498"/>
      <c r="I19" s="110">
        <v>1</v>
      </c>
      <c r="J19" s="110"/>
      <c r="K19" s="110">
        <v>1</v>
      </c>
      <c r="L19" s="110"/>
      <c r="M19" s="110">
        <v>1</v>
      </c>
      <c r="N19" s="110"/>
      <c r="O19" s="110">
        <v>1</v>
      </c>
      <c r="P19" s="110"/>
      <c r="Q19" s="110">
        <v>1</v>
      </c>
      <c r="R19" s="110"/>
      <c r="S19" s="110">
        <v>1</v>
      </c>
      <c r="T19" s="110"/>
      <c r="U19" s="110">
        <v>1</v>
      </c>
      <c r="V19" s="110"/>
      <c r="W19" s="110">
        <v>1</v>
      </c>
      <c r="X19" s="110"/>
      <c r="Y19" s="110"/>
      <c r="Z19" s="110">
        <v>1</v>
      </c>
      <c r="AA19" s="110">
        <v>1</v>
      </c>
      <c r="AB19" s="110"/>
      <c r="AC19" s="110"/>
      <c r="AD19" s="110">
        <v>1</v>
      </c>
      <c r="AE19" s="110"/>
      <c r="AF19" s="110">
        <v>1</v>
      </c>
      <c r="AG19" s="110"/>
      <c r="AH19" s="110">
        <v>1</v>
      </c>
      <c r="AI19" s="110"/>
      <c r="AJ19" s="110">
        <v>1</v>
      </c>
      <c r="AK19" s="110">
        <v>1</v>
      </c>
      <c r="AL19" s="110"/>
      <c r="AM19" s="110"/>
      <c r="AN19" s="110">
        <v>1</v>
      </c>
      <c r="AO19" s="110">
        <v>1</v>
      </c>
      <c r="AP19" s="110"/>
      <c r="AQ19" s="110">
        <v>1</v>
      </c>
      <c r="AR19" s="110"/>
      <c r="AS19" s="110">
        <v>1</v>
      </c>
      <c r="AT19" s="110"/>
      <c r="AU19" s="189">
        <v>1</v>
      </c>
      <c r="AV19" s="184"/>
      <c r="AW19" s="181">
        <v>1</v>
      </c>
      <c r="AX19" s="182"/>
      <c r="AY19" s="181">
        <v>1</v>
      </c>
      <c r="AZ19" s="182"/>
      <c r="BA19" s="181">
        <v>1</v>
      </c>
      <c r="BB19" s="182"/>
      <c r="BC19" s="181">
        <v>1</v>
      </c>
      <c r="BD19" s="182"/>
      <c r="BE19" s="181"/>
      <c r="BF19" s="182">
        <v>1</v>
      </c>
      <c r="BG19" s="181">
        <v>1</v>
      </c>
      <c r="BH19" s="182"/>
      <c r="BI19" s="181">
        <v>1</v>
      </c>
      <c r="BJ19" s="182"/>
      <c r="BK19" s="181"/>
      <c r="BL19" s="182">
        <v>1</v>
      </c>
      <c r="BM19" s="181"/>
      <c r="BN19" s="182">
        <v>1</v>
      </c>
      <c r="BO19" s="183"/>
      <c r="BP19" s="183"/>
      <c r="BQ19" s="183"/>
      <c r="BR19" s="183"/>
    </row>
    <row r="20" spans="2:70" x14ac:dyDescent="0.15">
      <c r="B20" s="142">
        <v>16</v>
      </c>
      <c r="C20" s="497" t="s">
        <v>182</v>
      </c>
      <c r="D20" s="498"/>
      <c r="E20" s="498"/>
      <c r="F20" s="498"/>
      <c r="G20" s="498"/>
      <c r="H20" s="498"/>
      <c r="I20" s="110"/>
      <c r="J20" s="110">
        <v>1</v>
      </c>
      <c r="K20" s="110"/>
      <c r="L20" s="110">
        <v>1</v>
      </c>
      <c r="M20" s="110">
        <v>1</v>
      </c>
      <c r="N20" s="110"/>
      <c r="O20" s="110"/>
      <c r="P20" s="110">
        <v>1</v>
      </c>
      <c r="Q20" s="110"/>
      <c r="R20" s="110">
        <v>1</v>
      </c>
      <c r="S20" s="110">
        <v>1</v>
      </c>
      <c r="T20" s="110"/>
      <c r="U20" s="110"/>
      <c r="V20" s="110">
        <v>1</v>
      </c>
      <c r="W20" s="110"/>
      <c r="X20" s="110">
        <v>1</v>
      </c>
      <c r="Y20" s="110"/>
      <c r="Z20" s="110">
        <v>1</v>
      </c>
      <c r="AA20" s="110"/>
      <c r="AB20" s="110">
        <v>1</v>
      </c>
      <c r="AC20" s="110"/>
      <c r="AD20" s="110">
        <v>1</v>
      </c>
      <c r="AE20" s="110">
        <v>1</v>
      </c>
      <c r="AF20" s="110"/>
      <c r="AG20" s="110"/>
      <c r="AH20" s="110">
        <v>1</v>
      </c>
      <c r="AI20" s="110">
        <v>1</v>
      </c>
      <c r="AJ20" s="110"/>
      <c r="AK20" s="110">
        <v>1</v>
      </c>
      <c r="AL20" s="110"/>
      <c r="AM20" s="110"/>
      <c r="AN20" s="110">
        <v>1</v>
      </c>
      <c r="AO20" s="110">
        <v>1</v>
      </c>
      <c r="AP20" s="110"/>
      <c r="AQ20" s="110">
        <v>1</v>
      </c>
      <c r="AR20" s="110"/>
      <c r="AS20" s="110">
        <v>1</v>
      </c>
      <c r="AT20" s="110"/>
      <c r="AU20" s="189">
        <v>1</v>
      </c>
      <c r="AV20" s="184"/>
      <c r="AW20" s="181"/>
      <c r="AX20" s="182">
        <v>1</v>
      </c>
      <c r="AY20" s="181"/>
      <c r="AZ20" s="182">
        <v>1</v>
      </c>
      <c r="BA20" s="181"/>
      <c r="BB20" s="182">
        <v>1</v>
      </c>
      <c r="BC20" s="181"/>
      <c r="BD20" s="182">
        <v>1</v>
      </c>
      <c r="BE20" s="181"/>
      <c r="BF20" s="182">
        <v>1</v>
      </c>
      <c r="BG20" s="181">
        <v>1</v>
      </c>
      <c r="BH20" s="182"/>
      <c r="BI20" s="181"/>
      <c r="BJ20" s="182">
        <v>1</v>
      </c>
      <c r="BK20" s="181">
        <v>1</v>
      </c>
      <c r="BL20" s="182"/>
      <c r="BM20" s="181"/>
      <c r="BN20" s="182">
        <v>1</v>
      </c>
      <c r="BO20" s="183"/>
      <c r="BP20" s="183"/>
      <c r="BQ20" s="183"/>
      <c r="BR20" s="183"/>
    </row>
    <row r="21" spans="2:70" x14ac:dyDescent="0.15">
      <c r="B21" s="142">
        <v>17</v>
      </c>
      <c r="C21" s="497" t="s">
        <v>183</v>
      </c>
      <c r="D21" s="498"/>
      <c r="E21" s="498"/>
      <c r="F21" s="498"/>
      <c r="G21" s="498"/>
      <c r="H21" s="498"/>
      <c r="I21" s="110"/>
      <c r="J21" s="110">
        <v>1</v>
      </c>
      <c r="K21" s="110"/>
      <c r="L21" s="110">
        <v>1</v>
      </c>
      <c r="M21" s="110"/>
      <c r="N21" s="110">
        <v>1</v>
      </c>
      <c r="O21" s="110">
        <v>1</v>
      </c>
      <c r="P21" s="110"/>
      <c r="Q21" s="110">
        <v>1</v>
      </c>
      <c r="R21" s="110"/>
      <c r="S21" s="110">
        <v>1</v>
      </c>
      <c r="T21" s="110"/>
      <c r="U21" s="110">
        <v>1</v>
      </c>
      <c r="V21" s="110"/>
      <c r="W21" s="110"/>
      <c r="X21" s="110">
        <v>1</v>
      </c>
      <c r="Y21" s="110"/>
      <c r="Z21" s="110">
        <v>1</v>
      </c>
      <c r="AA21" s="110">
        <v>1</v>
      </c>
      <c r="AB21" s="110"/>
      <c r="AC21" s="110"/>
      <c r="AD21" s="110">
        <v>1</v>
      </c>
      <c r="AE21" s="110">
        <v>1</v>
      </c>
      <c r="AF21" s="110"/>
      <c r="AG21" s="110"/>
      <c r="AH21" s="110">
        <v>1</v>
      </c>
      <c r="AI21" s="110">
        <v>1</v>
      </c>
      <c r="AJ21" s="110"/>
      <c r="AK21" s="110">
        <v>1</v>
      </c>
      <c r="AL21" s="110"/>
      <c r="AM21" s="110"/>
      <c r="AN21" s="110">
        <v>1</v>
      </c>
      <c r="AO21" s="110">
        <v>1</v>
      </c>
      <c r="AP21" s="110"/>
      <c r="AQ21" s="110">
        <v>1</v>
      </c>
      <c r="AR21" s="110"/>
      <c r="AS21" s="110">
        <v>1</v>
      </c>
      <c r="AT21" s="110"/>
      <c r="AU21" s="189">
        <v>1</v>
      </c>
      <c r="AV21" s="184"/>
      <c r="AW21" s="181">
        <v>1</v>
      </c>
      <c r="AX21" s="182"/>
      <c r="AY21" s="181">
        <v>1</v>
      </c>
      <c r="AZ21" s="182"/>
      <c r="BA21" s="181">
        <v>1</v>
      </c>
      <c r="BB21" s="182"/>
      <c r="BC21" s="181">
        <v>1</v>
      </c>
      <c r="BD21" s="182"/>
      <c r="BE21" s="181"/>
      <c r="BF21" s="182">
        <v>1</v>
      </c>
      <c r="BG21" s="181">
        <v>1</v>
      </c>
      <c r="BH21" s="182"/>
      <c r="BI21" s="181">
        <v>1</v>
      </c>
      <c r="BJ21" s="182"/>
      <c r="BK21" s="181"/>
      <c r="BL21" s="182">
        <v>1</v>
      </c>
      <c r="BM21" s="181"/>
      <c r="BN21" s="182">
        <v>1</v>
      </c>
      <c r="BO21" s="183"/>
      <c r="BP21" s="183"/>
      <c r="BQ21" s="183"/>
      <c r="BR21" s="183"/>
    </row>
    <row r="22" spans="2:70" x14ac:dyDescent="0.15">
      <c r="B22" s="142">
        <v>18</v>
      </c>
      <c r="C22" s="497" t="s">
        <v>184</v>
      </c>
      <c r="D22" s="498"/>
      <c r="E22" s="498"/>
      <c r="F22" s="498"/>
      <c r="G22" s="498"/>
      <c r="H22" s="498"/>
      <c r="I22" s="110"/>
      <c r="J22" s="110">
        <v>1</v>
      </c>
      <c r="K22" s="110"/>
      <c r="L22" s="110">
        <v>1</v>
      </c>
      <c r="M22" s="110"/>
      <c r="N22" s="110">
        <v>1</v>
      </c>
      <c r="O22" s="110">
        <v>1</v>
      </c>
      <c r="P22" s="110"/>
      <c r="Q22" s="110">
        <v>1</v>
      </c>
      <c r="R22" s="110"/>
      <c r="S22" s="110">
        <v>1</v>
      </c>
      <c r="T22" s="110"/>
      <c r="U22" s="110">
        <v>1</v>
      </c>
      <c r="V22" s="110"/>
      <c r="W22" s="110"/>
      <c r="X22" s="110">
        <v>1</v>
      </c>
      <c r="Y22" s="110"/>
      <c r="Z22" s="110">
        <v>1</v>
      </c>
      <c r="AA22" s="110"/>
      <c r="AB22" s="110">
        <v>1</v>
      </c>
      <c r="AC22" s="110"/>
      <c r="AD22" s="110">
        <v>1</v>
      </c>
      <c r="AE22" s="110"/>
      <c r="AF22" s="110">
        <v>1</v>
      </c>
      <c r="AG22" s="110"/>
      <c r="AH22" s="110">
        <v>1</v>
      </c>
      <c r="AI22" s="110"/>
      <c r="AJ22" s="110">
        <v>1</v>
      </c>
      <c r="AK22" s="110">
        <v>1</v>
      </c>
      <c r="AL22" s="110"/>
      <c r="AM22" s="110"/>
      <c r="AN22" s="110">
        <v>1</v>
      </c>
      <c r="AO22" s="110">
        <v>1</v>
      </c>
      <c r="AP22" s="110"/>
      <c r="AQ22" s="110">
        <v>1</v>
      </c>
      <c r="AR22" s="110"/>
      <c r="AS22" s="110">
        <v>1</v>
      </c>
      <c r="AT22" s="110"/>
      <c r="AU22" s="189">
        <v>1</v>
      </c>
      <c r="AV22" s="184"/>
      <c r="AW22" s="181">
        <v>1</v>
      </c>
      <c r="AX22" s="182"/>
      <c r="AY22" s="181">
        <v>1</v>
      </c>
      <c r="AZ22" s="182"/>
      <c r="BA22" s="181">
        <v>1</v>
      </c>
      <c r="BB22" s="182"/>
      <c r="BC22" s="181">
        <v>1</v>
      </c>
      <c r="BD22" s="182"/>
      <c r="BE22" s="181"/>
      <c r="BF22" s="182">
        <v>1</v>
      </c>
      <c r="BG22" s="181">
        <v>1</v>
      </c>
      <c r="BH22" s="182"/>
      <c r="BI22" s="181"/>
      <c r="BJ22" s="182">
        <v>1</v>
      </c>
      <c r="BK22" s="181"/>
      <c r="BL22" s="182">
        <v>1</v>
      </c>
      <c r="BM22" s="181"/>
      <c r="BN22" s="182">
        <v>1</v>
      </c>
      <c r="BO22" s="183"/>
      <c r="BP22" s="183"/>
      <c r="BQ22" s="183"/>
      <c r="BR22" s="183"/>
    </row>
    <row r="23" spans="2:70" x14ac:dyDescent="0.15">
      <c r="B23" s="142">
        <v>19</v>
      </c>
      <c r="C23" s="497" t="s">
        <v>201</v>
      </c>
      <c r="D23" s="498"/>
      <c r="E23" s="498"/>
      <c r="F23" s="498"/>
      <c r="G23" s="498"/>
      <c r="H23" s="498"/>
      <c r="I23" s="110"/>
      <c r="J23" s="110">
        <v>1</v>
      </c>
      <c r="K23" s="110"/>
      <c r="L23" s="110">
        <v>1</v>
      </c>
      <c r="M23" s="110"/>
      <c r="N23" s="110">
        <v>1</v>
      </c>
      <c r="O23" s="110"/>
      <c r="P23" s="110">
        <v>1</v>
      </c>
      <c r="Q23" s="110"/>
      <c r="R23" s="110">
        <v>1</v>
      </c>
      <c r="S23" s="110"/>
      <c r="T23" s="110">
        <v>1</v>
      </c>
      <c r="U23" s="110"/>
      <c r="V23" s="110">
        <v>1</v>
      </c>
      <c r="W23" s="110"/>
      <c r="X23" s="110">
        <v>1</v>
      </c>
      <c r="Y23" s="110"/>
      <c r="Z23" s="110">
        <v>1</v>
      </c>
      <c r="AA23" s="110"/>
      <c r="AB23" s="110">
        <v>1</v>
      </c>
      <c r="AC23" s="110"/>
      <c r="AD23" s="110">
        <v>1</v>
      </c>
      <c r="AE23" s="110"/>
      <c r="AF23" s="110">
        <v>1</v>
      </c>
      <c r="AG23" s="110"/>
      <c r="AH23" s="110">
        <v>1</v>
      </c>
      <c r="AI23" s="110"/>
      <c r="AJ23" s="110">
        <v>1</v>
      </c>
      <c r="AK23" s="110"/>
      <c r="AL23" s="110">
        <v>1</v>
      </c>
      <c r="AM23" s="110"/>
      <c r="AN23" s="110">
        <v>1</v>
      </c>
      <c r="AO23" s="110"/>
      <c r="AP23" s="110">
        <v>1</v>
      </c>
      <c r="AQ23" s="110"/>
      <c r="AR23" s="110">
        <v>1</v>
      </c>
      <c r="AS23" s="110"/>
      <c r="AT23" s="110">
        <v>1</v>
      </c>
      <c r="AU23" s="189">
        <v>1</v>
      </c>
      <c r="AV23" s="182"/>
      <c r="AW23" s="181"/>
      <c r="AX23" s="182">
        <v>1</v>
      </c>
      <c r="AY23" s="181"/>
      <c r="AZ23" s="182">
        <v>1</v>
      </c>
      <c r="BA23" s="181"/>
      <c r="BB23" s="182">
        <v>1</v>
      </c>
      <c r="BC23" s="181"/>
      <c r="BD23" s="182">
        <v>1</v>
      </c>
      <c r="BE23" s="181"/>
      <c r="BF23" s="182">
        <v>1</v>
      </c>
      <c r="BG23" s="181"/>
      <c r="BH23" s="182">
        <v>1</v>
      </c>
      <c r="BI23" s="181"/>
      <c r="BJ23" s="182">
        <v>1</v>
      </c>
      <c r="BK23" s="181"/>
      <c r="BL23" s="182">
        <v>1</v>
      </c>
      <c r="BM23" s="181"/>
      <c r="BN23" s="182">
        <v>1</v>
      </c>
      <c r="BO23" s="183"/>
      <c r="BP23" s="183"/>
      <c r="BQ23" s="183"/>
      <c r="BR23" s="183"/>
    </row>
    <row r="24" spans="2:70" x14ac:dyDescent="0.15">
      <c r="B24" s="142">
        <v>20</v>
      </c>
      <c r="C24" s="497" t="s">
        <v>444</v>
      </c>
      <c r="D24" s="498"/>
      <c r="E24" s="498"/>
      <c r="F24" s="498"/>
      <c r="G24" s="498"/>
      <c r="H24" s="498"/>
      <c r="I24" s="110"/>
      <c r="J24" s="110">
        <v>1</v>
      </c>
      <c r="K24" s="188"/>
      <c r="L24" s="182">
        <v>1</v>
      </c>
      <c r="M24" s="188"/>
      <c r="N24" s="182">
        <v>1</v>
      </c>
      <c r="O24" s="188"/>
      <c r="P24" s="182">
        <v>1</v>
      </c>
      <c r="Q24" s="188"/>
      <c r="R24" s="182">
        <v>1</v>
      </c>
      <c r="S24" s="188"/>
      <c r="T24" s="182">
        <v>1</v>
      </c>
      <c r="U24" s="188"/>
      <c r="V24" s="182">
        <v>1</v>
      </c>
      <c r="W24" s="188"/>
      <c r="X24" s="182">
        <v>1</v>
      </c>
      <c r="Y24" s="188"/>
      <c r="Z24" s="182">
        <v>1</v>
      </c>
      <c r="AA24" s="188"/>
      <c r="AB24" s="182">
        <v>1</v>
      </c>
      <c r="AC24" s="188"/>
      <c r="AD24" s="182">
        <v>1</v>
      </c>
      <c r="AE24" s="188"/>
      <c r="AF24" s="182">
        <v>1</v>
      </c>
      <c r="AG24" s="188"/>
      <c r="AH24" s="182">
        <v>1</v>
      </c>
      <c r="AI24" s="188"/>
      <c r="AJ24" s="182">
        <v>1</v>
      </c>
      <c r="AK24" s="188"/>
      <c r="AL24" s="182">
        <v>1</v>
      </c>
      <c r="AM24" s="188"/>
      <c r="AN24" s="182">
        <v>1</v>
      </c>
      <c r="AO24" s="188"/>
      <c r="AP24" s="182">
        <v>1</v>
      </c>
      <c r="AQ24" s="188"/>
      <c r="AR24" s="182">
        <v>1</v>
      </c>
      <c r="AS24" s="188"/>
      <c r="AT24" s="182">
        <v>1</v>
      </c>
      <c r="AU24" s="188"/>
      <c r="AV24" s="182">
        <v>1</v>
      </c>
      <c r="AW24" s="181"/>
      <c r="AX24" s="182">
        <v>1</v>
      </c>
      <c r="AY24" s="181"/>
      <c r="AZ24" s="182">
        <v>1</v>
      </c>
      <c r="BA24" s="181"/>
      <c r="BB24" s="182">
        <v>1</v>
      </c>
      <c r="BC24" s="181"/>
      <c r="BD24" s="182">
        <v>1</v>
      </c>
      <c r="BE24" s="181"/>
      <c r="BF24" s="182">
        <v>1</v>
      </c>
      <c r="BG24" s="181"/>
      <c r="BH24" s="182">
        <v>1</v>
      </c>
      <c r="BI24" s="181"/>
      <c r="BJ24" s="182">
        <v>1</v>
      </c>
      <c r="BK24" s="181"/>
      <c r="BL24" s="182">
        <v>1</v>
      </c>
      <c r="BM24" s="181"/>
      <c r="BN24" s="182">
        <v>1</v>
      </c>
      <c r="BO24" s="183"/>
      <c r="BP24" s="183"/>
      <c r="BQ24" s="183"/>
      <c r="BR24" s="183"/>
    </row>
    <row r="25" spans="2:70" ht="12" thickBot="1" x14ac:dyDescent="0.2">
      <c r="C25" s="506" t="s">
        <v>193</v>
      </c>
      <c r="D25" s="507"/>
      <c r="E25" s="506" t="s">
        <v>194</v>
      </c>
      <c r="F25" s="508"/>
      <c r="G25" s="508"/>
      <c r="H25" s="508"/>
      <c r="I25" s="111">
        <f t="shared" ref="I25:V25" si="0">SUM(I5:I24)</f>
        <v>8</v>
      </c>
      <c r="J25" s="111">
        <f t="shared" si="0"/>
        <v>12</v>
      </c>
      <c r="K25" s="190">
        <f t="shared" si="0"/>
        <v>8</v>
      </c>
      <c r="L25" s="186">
        <f t="shared" si="0"/>
        <v>12</v>
      </c>
      <c r="M25" s="190">
        <f t="shared" si="0"/>
        <v>10</v>
      </c>
      <c r="N25" s="186">
        <f t="shared" si="0"/>
        <v>10</v>
      </c>
      <c r="O25" s="190">
        <f t="shared" si="0"/>
        <v>16</v>
      </c>
      <c r="P25" s="186">
        <f t="shared" si="0"/>
        <v>4</v>
      </c>
      <c r="Q25" s="190">
        <f t="shared" si="0"/>
        <v>15</v>
      </c>
      <c r="R25" s="186">
        <f t="shared" si="0"/>
        <v>5</v>
      </c>
      <c r="S25" s="190">
        <f t="shared" si="0"/>
        <v>16</v>
      </c>
      <c r="T25" s="186">
        <f t="shared" si="0"/>
        <v>4</v>
      </c>
      <c r="U25" s="190">
        <f t="shared" si="0"/>
        <v>13</v>
      </c>
      <c r="V25" s="186">
        <f t="shared" si="0"/>
        <v>7</v>
      </c>
      <c r="W25" s="190">
        <f t="shared" ref="W25:X25" si="1">SUM(W5:W24)</f>
        <v>13</v>
      </c>
      <c r="X25" s="186">
        <f t="shared" si="1"/>
        <v>7</v>
      </c>
      <c r="Y25" s="190">
        <f t="shared" ref="Y25:AT25" si="2">SUM(Y5:Y24)</f>
        <v>7</v>
      </c>
      <c r="Z25" s="186">
        <f t="shared" si="2"/>
        <v>13</v>
      </c>
      <c r="AA25" s="190">
        <f t="shared" ref="AA25:AR25" si="3">SUM(AA5:AA24)</f>
        <v>12</v>
      </c>
      <c r="AB25" s="186">
        <f t="shared" si="3"/>
        <v>8</v>
      </c>
      <c r="AC25" s="190">
        <f t="shared" si="3"/>
        <v>9</v>
      </c>
      <c r="AD25" s="186">
        <f t="shared" si="3"/>
        <v>11</v>
      </c>
      <c r="AE25" s="190">
        <f t="shared" si="3"/>
        <v>11</v>
      </c>
      <c r="AF25" s="186">
        <f t="shared" si="3"/>
        <v>9</v>
      </c>
      <c r="AG25" s="190">
        <f t="shared" si="3"/>
        <v>9</v>
      </c>
      <c r="AH25" s="186">
        <f t="shared" si="3"/>
        <v>11</v>
      </c>
      <c r="AI25" s="190">
        <f t="shared" si="3"/>
        <v>10</v>
      </c>
      <c r="AJ25" s="186">
        <f t="shared" si="3"/>
        <v>10</v>
      </c>
      <c r="AK25" s="190">
        <f t="shared" si="3"/>
        <v>16</v>
      </c>
      <c r="AL25" s="186">
        <f t="shared" si="3"/>
        <v>4</v>
      </c>
      <c r="AM25" s="190">
        <f t="shared" si="3"/>
        <v>6</v>
      </c>
      <c r="AN25" s="186">
        <f t="shared" si="3"/>
        <v>14</v>
      </c>
      <c r="AO25" s="190">
        <f t="shared" si="3"/>
        <v>17</v>
      </c>
      <c r="AP25" s="186">
        <f t="shared" si="3"/>
        <v>3</v>
      </c>
      <c r="AQ25" s="190">
        <f t="shared" si="3"/>
        <v>15</v>
      </c>
      <c r="AR25" s="186">
        <f t="shared" si="3"/>
        <v>5</v>
      </c>
      <c r="AS25" s="190">
        <f t="shared" si="2"/>
        <v>17</v>
      </c>
      <c r="AT25" s="186">
        <f t="shared" si="2"/>
        <v>3</v>
      </c>
      <c r="AU25" s="190">
        <f t="shared" ref="AU25:BN25" si="4">SUM(AU5:AU24)</f>
        <v>15</v>
      </c>
      <c r="AV25" s="186">
        <f t="shared" si="4"/>
        <v>5</v>
      </c>
      <c r="AW25" s="185">
        <f t="shared" si="4"/>
        <v>14</v>
      </c>
      <c r="AX25" s="186">
        <f t="shared" si="4"/>
        <v>6</v>
      </c>
      <c r="AY25" s="185">
        <f t="shared" si="4"/>
        <v>9</v>
      </c>
      <c r="AZ25" s="186">
        <f t="shared" si="4"/>
        <v>11</v>
      </c>
      <c r="BA25" s="185">
        <f t="shared" si="4"/>
        <v>15</v>
      </c>
      <c r="BB25" s="186">
        <f t="shared" si="4"/>
        <v>5</v>
      </c>
      <c r="BC25" s="185">
        <f t="shared" si="4"/>
        <v>14</v>
      </c>
      <c r="BD25" s="186">
        <f t="shared" si="4"/>
        <v>6</v>
      </c>
      <c r="BE25" s="185">
        <f t="shared" si="4"/>
        <v>3</v>
      </c>
      <c r="BF25" s="186">
        <f t="shared" si="4"/>
        <v>17</v>
      </c>
      <c r="BG25" s="185">
        <f t="shared" si="4"/>
        <v>17</v>
      </c>
      <c r="BH25" s="186">
        <f t="shared" si="4"/>
        <v>3</v>
      </c>
      <c r="BI25" s="185">
        <f t="shared" si="4"/>
        <v>14</v>
      </c>
      <c r="BJ25" s="186">
        <f t="shared" si="4"/>
        <v>6</v>
      </c>
      <c r="BK25" s="185">
        <f t="shared" si="4"/>
        <v>13</v>
      </c>
      <c r="BL25" s="186">
        <f t="shared" si="4"/>
        <v>7</v>
      </c>
      <c r="BM25" s="185">
        <f t="shared" si="4"/>
        <v>12</v>
      </c>
      <c r="BN25" s="186">
        <f t="shared" si="4"/>
        <v>8</v>
      </c>
      <c r="BO25" s="180"/>
      <c r="BP25" s="180"/>
      <c r="BQ25" s="180"/>
      <c r="BR25" s="180"/>
    </row>
    <row r="26" spans="2:70" x14ac:dyDescent="0.15">
      <c r="C26" s="492" t="s">
        <v>195</v>
      </c>
      <c r="D26" s="492"/>
      <c r="E26" s="492"/>
      <c r="F26" s="492"/>
      <c r="G26" s="492"/>
      <c r="H26" s="493"/>
      <c r="I26" s="191">
        <f>+I25</f>
        <v>8</v>
      </c>
      <c r="J26" s="191"/>
      <c r="K26" s="192">
        <f>+K25</f>
        <v>8</v>
      </c>
      <c r="L26" s="193"/>
      <c r="M26" s="192">
        <f>+M25</f>
        <v>10</v>
      </c>
      <c r="N26" s="193"/>
      <c r="O26" s="192">
        <f>+O25</f>
        <v>16</v>
      </c>
      <c r="P26" s="193"/>
      <c r="Q26" s="192">
        <f>+Q25</f>
        <v>15</v>
      </c>
      <c r="R26" s="193"/>
      <c r="S26" s="192">
        <f>+S25</f>
        <v>16</v>
      </c>
      <c r="T26" s="193"/>
      <c r="U26" s="192">
        <f>+U25</f>
        <v>13</v>
      </c>
      <c r="V26" s="193"/>
      <c r="W26" s="192">
        <f>+W25</f>
        <v>13</v>
      </c>
      <c r="X26" s="193"/>
      <c r="Y26" s="192">
        <f>+Y25</f>
        <v>7</v>
      </c>
      <c r="Z26" s="193"/>
      <c r="AA26" s="192">
        <f t="shared" ref="AA26" si="5">+AA25</f>
        <v>12</v>
      </c>
      <c r="AB26" s="193"/>
      <c r="AC26" s="192">
        <f t="shared" ref="AC26" si="6">+AC25</f>
        <v>9</v>
      </c>
      <c r="AD26" s="193"/>
      <c r="AE26" s="192">
        <f t="shared" ref="AE26" si="7">+AE25</f>
        <v>11</v>
      </c>
      <c r="AF26" s="193"/>
      <c r="AG26" s="192">
        <f t="shared" ref="AG26" si="8">+AG25</f>
        <v>9</v>
      </c>
      <c r="AH26" s="193"/>
      <c r="AI26" s="192">
        <f t="shared" ref="AI26" si="9">+AI25</f>
        <v>10</v>
      </c>
      <c r="AJ26" s="193"/>
      <c r="AK26" s="192">
        <f t="shared" ref="AK26" si="10">+AK25</f>
        <v>16</v>
      </c>
      <c r="AL26" s="193"/>
      <c r="AM26" s="192">
        <f t="shared" ref="AM26" si="11">+AM25</f>
        <v>6</v>
      </c>
      <c r="AN26" s="193"/>
      <c r="AO26" s="192">
        <f t="shared" ref="AO26" si="12">+AO25</f>
        <v>17</v>
      </c>
      <c r="AP26" s="193"/>
      <c r="AQ26" s="192">
        <f t="shared" ref="AQ26" si="13">+AQ25</f>
        <v>15</v>
      </c>
      <c r="AR26" s="193"/>
      <c r="AS26" s="192">
        <f>+AS25</f>
        <v>17</v>
      </c>
      <c r="AT26" s="193"/>
      <c r="AU26" s="192">
        <f>+AU25</f>
        <v>15</v>
      </c>
      <c r="AV26" s="193"/>
      <c r="AW26" s="193">
        <f t="shared" ref="AW26" si="14">+AW25</f>
        <v>14</v>
      </c>
      <c r="AX26" s="193"/>
      <c r="AY26" s="193">
        <f t="shared" ref="AY26" si="15">+AY25</f>
        <v>9</v>
      </c>
      <c r="AZ26" s="193"/>
      <c r="BA26" s="193">
        <f t="shared" ref="BA26" si="16">+BA25</f>
        <v>15</v>
      </c>
      <c r="BB26" s="193"/>
      <c r="BC26" s="193">
        <f t="shared" ref="BC26" si="17">+BC25</f>
        <v>14</v>
      </c>
      <c r="BD26" s="193"/>
      <c r="BE26" s="193">
        <f t="shared" ref="BE26" si="18">+BE25</f>
        <v>3</v>
      </c>
      <c r="BF26" s="193"/>
      <c r="BG26" s="193">
        <f t="shared" ref="BG26" si="19">+BG25</f>
        <v>17</v>
      </c>
      <c r="BH26" s="193"/>
      <c r="BI26" s="193">
        <f t="shared" ref="BI26" si="20">+BI25</f>
        <v>14</v>
      </c>
      <c r="BJ26" s="193"/>
      <c r="BK26" s="193">
        <f t="shared" ref="BK26" si="21">+BK25</f>
        <v>13</v>
      </c>
      <c r="BL26" s="193"/>
      <c r="BM26" s="193">
        <f t="shared" ref="BM26" si="22">+BM25</f>
        <v>12</v>
      </c>
      <c r="BN26" s="193"/>
      <c r="BO26" s="505"/>
      <c r="BP26" s="505"/>
      <c r="BQ26" s="505"/>
      <c r="BR26" s="505"/>
    </row>
    <row r="27" spans="2:70" x14ac:dyDescent="0.15">
      <c r="C27" s="493" t="s">
        <v>196</v>
      </c>
      <c r="D27" s="494"/>
      <c r="E27" s="494"/>
      <c r="F27" s="494"/>
      <c r="G27" s="494"/>
      <c r="H27" s="494"/>
      <c r="I27" s="191" t="str">
        <f>+IF(I26=1, "leve",IF(I26=2,"Leve",IF(I26=3,"Leve",IF(I26=4,"Menor",IF(I26=5,"Menor",IF(I26=6,"Menor",IF(I26=7,"Moderado",IF(I26=8,"Moderado",IF(I26=9,"Moderado",IF(I26=10,"Moderado",IF(I26=11,"Mayor",IF(I26=12,"Mayor",IF(I26=13,"Mayor",IF(I26=14,"Mayor",IF(I26=15,"Catastrófico",IF(I26=16,"Catastrófico",IF(I26=17,"Catastrófico",IF(I26=18,"Catastrófico",IF(I26=19,"Catastrofíco",IF(I26=20,"Catastrofico"))))))))))))))))))))</f>
        <v>Moderado</v>
      </c>
      <c r="J27" s="191"/>
      <c r="K27" s="191" t="str">
        <f t="shared" ref="K27" si="23">+IF(K26=1, "leve",IF(K26=2,"Leve",IF(K26=3,"Leve",IF(K26=4,"Menor",IF(K26=5,"Menor",IF(K26=6,"Menor",IF(K26=7,"Moderado",IF(K26=8,"Moderado",IF(K26=9,"Moderado",IF(K26=10,"Moderado",IF(K26=11,"Mayor",IF(K26=12,"Mayor",IF(K26=13,"Mayor",IF(K26=14,"Mayor",IF(K26=15,"Catastrófico",IF(K26=16,"Catastrófico",IF(K26=17,"Catastrófico",IF(K26=18,"Catastrófico",IF(K26=19,"Catastrofíco",IF(K26=20,"Catastrofico"))))))))))))))))))))</f>
        <v>Moderado</v>
      </c>
      <c r="L27" s="191"/>
      <c r="M27" s="191" t="str">
        <f t="shared" ref="M27" si="24">+IF(M26=1, "leve",IF(M26=2,"Leve",IF(M26=3,"Leve",IF(M26=4,"Menor",IF(M26=5,"Menor",IF(M26=6,"Menor",IF(M26=7,"Moderado",IF(M26=8,"Moderado",IF(M26=9,"Moderado",IF(M26=10,"Moderado",IF(M26=11,"Mayor",IF(M26=12,"Mayor",IF(M26=13,"Mayor",IF(M26=14,"Mayor",IF(M26=15,"Catastrófico",IF(M26=16,"Catastrófico",IF(M26=17,"Catastrófico",IF(M26=18,"Catastrófico",IF(M26=19,"Catastrofíco",IF(M26=20,"Catastrofico"))))))))))))))))))))</f>
        <v>Moderado</v>
      </c>
      <c r="N27" s="191"/>
      <c r="O27" s="191" t="str">
        <f t="shared" ref="O27" si="25">+IF(O26=1, "leve",IF(O26=2,"Leve",IF(O26=3,"Leve",IF(O26=4,"Menor",IF(O26=5,"Menor",IF(O26=6,"Menor",IF(O26=7,"Moderado",IF(O26=8,"Moderado",IF(O26=9,"Moderado",IF(O26=10,"Moderado",IF(O26=11,"Mayor",IF(O26=12,"Mayor",IF(O26=13,"Mayor",IF(O26=14,"Mayor",IF(O26=15,"Catastrófico",IF(O26=16,"Catastrófico",IF(O26=17,"Catastrófico",IF(O26=18,"Catastrófico",IF(O26=19,"Catastrofíco",IF(O26=20,"Catastrofico"))))))))))))))))))))</f>
        <v>Catastrófico</v>
      </c>
      <c r="P27" s="191"/>
      <c r="Q27" s="191" t="str">
        <f t="shared" ref="Q27" si="26">+IF(Q26=1, "leve",IF(Q26=2,"Leve",IF(Q26=3,"Leve",IF(Q26=4,"Menor",IF(Q26=5,"Menor",IF(Q26=6,"Menor",IF(Q26=7,"Moderado",IF(Q26=8,"Moderado",IF(Q26=9,"Moderado",IF(Q26=10,"Moderado",IF(Q26=11,"Mayor",IF(Q26=12,"Mayor",IF(Q26=13,"Mayor",IF(Q26=14,"Mayor",IF(Q26=15,"Catastrófico",IF(Q26=16,"Catastrófico",IF(Q26=17,"Catastrófico",IF(Q26=18,"Catastrófico",IF(Q26=19,"Catastrofíco",IF(Q26=20,"Catastrofico"))))))))))))))))))))</f>
        <v>Catastrófico</v>
      </c>
      <c r="R27" s="191"/>
      <c r="S27" s="191" t="str">
        <f t="shared" ref="S27" si="27">+IF(S26=1, "leve",IF(S26=2,"Leve",IF(S26=3,"Leve",IF(S26=4,"Menor",IF(S26=5,"Menor",IF(S26=6,"Menor",IF(S26=7,"Moderado",IF(S26=8,"Moderado",IF(S26=9,"Moderado",IF(S26=10,"Moderado",IF(S26=11,"Mayor",IF(S26=12,"Mayor",IF(S26=13,"Mayor",IF(S26=14,"Mayor",IF(S26=15,"Catastrófico",IF(S26=16,"Catastrófico",IF(S26=17,"Catastrófico",IF(S26=18,"Catastrófico",IF(S26=19,"Catastrofíco",IF(S26=20,"Catastrofico"))))))))))))))))))))</f>
        <v>Catastrófico</v>
      </c>
      <c r="T27" s="191"/>
      <c r="U27" s="191" t="str">
        <f t="shared" ref="U27" si="28">+IF(U26=1, "leve",IF(U26=2,"Leve",IF(U26=3,"Leve",IF(U26=4,"Menor",IF(U26=5,"Menor",IF(U26=6,"Menor",IF(U26=7,"Moderado",IF(U26=8,"Moderado",IF(U26=9,"Moderado",IF(U26=10,"Moderado",IF(U26=11,"Mayor",IF(U26=12,"Mayor",IF(U26=13,"Mayor",IF(U26=14,"Mayor",IF(U26=15,"Catastrófico",IF(U26=16,"Catastrófico",IF(U26=17,"Catastrófico",IF(U26=18,"Catastrófico",IF(U26=19,"Catastrofíco",IF(U26=20,"Catastrofico"))))))))))))))))))))</f>
        <v>Mayor</v>
      </c>
      <c r="V27" s="191"/>
      <c r="W27" s="191" t="str">
        <f t="shared" ref="W27" si="29">+IF(W26=1, "leve",IF(W26=2,"Leve",IF(W26=3,"Leve",IF(W26=4,"Menor",IF(W26=5,"Menor",IF(W26=6,"Menor",IF(W26=7,"Moderado",IF(W26=8,"Moderado",IF(W26=9,"Moderado",IF(W26=10,"Moderado",IF(W26=11,"Mayor",IF(W26=12,"Mayor",IF(W26=13,"Mayor",IF(W26=14,"Mayor",IF(W26=15,"Catastrófico",IF(W26=16,"Catastrófico",IF(W26=17,"Catastrófico",IF(W26=18,"Catastrófico",IF(W26=19,"Catastrofíco",IF(W26=20,"Catastrofico"))))))))))))))))))))</f>
        <v>Mayor</v>
      </c>
      <c r="X27" s="191"/>
      <c r="Y27" s="191" t="str">
        <f t="shared" ref="Y27" si="30">+IF(Y26=1, "leve",IF(Y26=2,"Leve",IF(Y26=3,"Leve",IF(Y26=4,"Menor",IF(Y26=5,"Menor",IF(Y26=6,"Menor",IF(Y26=7,"Moderado",IF(Y26=8,"Moderado",IF(Y26=9,"Moderado",IF(Y26=10,"Moderado",IF(Y26=11,"Mayor",IF(Y26=12,"Mayor",IF(Y26=13,"Mayor",IF(Y26=14,"Mayor",IF(Y26=15,"Catastrófico",IF(Y26=16,"Catastrófico",IF(Y26=17,"Catastrófico",IF(Y26=18,"Catastrófico",IF(Y26=19,"Catastrofíco",IF(Y26=20,"Catastrofico"))))))))))))))))))))</f>
        <v>Moderado</v>
      </c>
      <c r="Z27" s="191"/>
      <c r="AA27" s="191" t="str">
        <f t="shared" ref="AA27" si="31">+IF(AA26=1, "leve",IF(AA26=2,"Leve",IF(AA26=3,"Leve",IF(AA26=4,"Menor",IF(AA26=5,"Menor",IF(AA26=6,"Menor",IF(AA26=7,"Moderado",IF(AA26=8,"Moderado",IF(AA26=9,"Moderado",IF(AA26=10,"Moderado",IF(AA26=11,"Mayor",IF(AA26=12,"Mayor",IF(AA26=13,"Mayor",IF(AA26=14,"Mayor",IF(AA26=15,"Catastrófico",IF(AA26=16,"Catastrófico",IF(AA26=17,"Catastrófico",IF(AA26=18,"Catastrófico",IF(AA26=19,"Catastrofíco",IF(AA26=20,"Catastrofico"))))))))))))))))))))</f>
        <v>Mayor</v>
      </c>
      <c r="AB27" s="191"/>
      <c r="AC27" s="191" t="str">
        <f t="shared" ref="AC27" si="32">+IF(AC26=1, "leve",IF(AC26=2,"Leve",IF(AC26=3,"Leve",IF(AC26=4,"Menor",IF(AC26=5,"Menor",IF(AC26=6,"Menor",IF(AC26=7,"Moderado",IF(AC26=8,"Moderado",IF(AC26=9,"Moderado",IF(AC26=10,"Moderado",IF(AC26=11,"Mayor",IF(AC26=12,"Mayor",IF(AC26=13,"Mayor",IF(AC26=14,"Mayor",IF(AC26=15,"Catastrófico",IF(AC26=16,"Catastrófico",IF(AC26=17,"Catastrófico",IF(AC26=18,"Catastrófico",IF(AC26=19,"Catastrofíco",IF(AC26=20,"Catastrofico"))))))))))))))))))))</f>
        <v>Moderado</v>
      </c>
      <c r="AD27" s="191"/>
      <c r="AE27" s="191" t="str">
        <f t="shared" ref="AE27" si="33">+IF(AE26=1, "leve",IF(AE26=2,"Leve",IF(AE26=3,"Leve",IF(AE26=4,"Menor",IF(AE26=5,"Menor",IF(AE26=6,"Menor",IF(AE26=7,"Moderado",IF(AE26=8,"Moderado",IF(AE26=9,"Moderado",IF(AE26=10,"Moderado",IF(AE26=11,"Mayor",IF(AE26=12,"Mayor",IF(AE26=13,"Mayor",IF(AE26=14,"Mayor",IF(AE26=15,"Catastrófico",IF(AE26=16,"Catastrófico",IF(AE26=17,"Catastrófico",IF(AE26=18,"Catastrófico",IF(AE26=19,"Catastrofíco",IF(AE26=20,"Catastrofico"))))))))))))))))))))</f>
        <v>Mayor</v>
      </c>
      <c r="AF27" s="191"/>
      <c r="AG27" s="191" t="str">
        <f t="shared" ref="AG27" si="34">+IF(AG26=1, "leve",IF(AG26=2,"Leve",IF(AG26=3,"Leve",IF(AG26=4,"Menor",IF(AG26=5,"Menor",IF(AG26=6,"Menor",IF(AG26=7,"Moderado",IF(AG26=8,"Moderado",IF(AG26=9,"Moderado",IF(AG26=10,"Moderado",IF(AG26=11,"Mayor",IF(AG26=12,"Mayor",IF(AG26=13,"Mayor",IF(AG26=14,"Mayor",IF(AG26=15,"Catastrófico",IF(AG26=16,"Catastrófico",IF(AG26=17,"Catastrófico",IF(AG26=18,"Catastrófico",IF(AG26=19,"Catastrofíco",IF(AG26=20,"Catastrofico"))))))))))))))))))))</f>
        <v>Moderado</v>
      </c>
      <c r="AH27" s="191"/>
      <c r="AI27" s="191" t="str">
        <f t="shared" ref="AI27" si="35">+IF(AI26=1, "leve",IF(AI26=2,"Leve",IF(AI26=3,"Leve",IF(AI26=4,"Menor",IF(AI26=5,"Menor",IF(AI26=6,"Menor",IF(AI26=7,"Moderado",IF(AI26=8,"Moderado",IF(AI26=9,"Moderado",IF(AI26=10,"Moderado",IF(AI26=11,"Mayor",IF(AI26=12,"Mayor",IF(AI26=13,"Mayor",IF(AI26=14,"Mayor",IF(AI26=15,"Catastrófico",IF(AI26=16,"Catastrófico",IF(AI26=17,"Catastrófico",IF(AI26=18,"Catastrófico",IF(AI26=19,"Catastrofíco",IF(AI26=20,"Catastrofico"))))))))))))))))))))</f>
        <v>Moderado</v>
      </c>
      <c r="AJ27" s="191"/>
      <c r="AK27" s="191" t="str">
        <f t="shared" ref="AK27" si="36">+IF(AK26=1, "leve",IF(AK26=2,"Leve",IF(AK26=3,"Leve",IF(AK26=4,"Menor",IF(AK26=5,"Menor",IF(AK26=6,"Menor",IF(AK26=7,"Moderado",IF(AK26=8,"Moderado",IF(AK26=9,"Moderado",IF(AK26=10,"Moderado",IF(AK26=11,"Mayor",IF(AK26=12,"Mayor",IF(AK26=13,"Mayor",IF(AK26=14,"Mayor",IF(AK26=15,"Catastrófico",IF(AK26=16,"Catastrófico",IF(AK26=17,"Catastrófico",IF(AK26=18,"Catastrófico",IF(AK26=19,"Catastrofíco",IF(AK26=20,"Catastrofico"))))))))))))))))))))</f>
        <v>Catastrófico</v>
      </c>
      <c r="AL27" s="191"/>
      <c r="AM27" s="191" t="str">
        <f t="shared" ref="AM27" si="37">+IF(AM26=1, "leve",IF(AM26=2,"Leve",IF(AM26=3,"Leve",IF(AM26=4,"Menor",IF(AM26=5,"Menor",IF(AM26=6,"Menor",IF(AM26=7,"Moderado",IF(AM26=8,"Moderado",IF(AM26=9,"Moderado",IF(AM26=10,"Moderado",IF(AM26=11,"Mayor",IF(AM26=12,"Mayor",IF(AM26=13,"Mayor",IF(AM26=14,"Mayor",IF(AM26=15,"Catastrófico",IF(AM26=16,"Catastrófico",IF(AM26=17,"Catastrófico",IF(AM26=18,"Catastrófico",IF(AM26=19,"Catastrofíco",IF(AM26=20,"Catastrofico"))))))))))))))))))))</f>
        <v>Menor</v>
      </c>
      <c r="AN27" s="191"/>
      <c r="AO27" s="191" t="str">
        <f t="shared" ref="AO27" si="38">+IF(AO26=1, "leve",IF(AO26=2,"Leve",IF(AO26=3,"Leve",IF(AO26=4,"Menor",IF(AO26=5,"Menor",IF(AO26=6,"Menor",IF(AO26=7,"Moderado",IF(AO26=8,"Moderado",IF(AO26=9,"Moderado",IF(AO26=10,"Moderado",IF(AO26=11,"Mayor",IF(AO26=12,"Mayor",IF(AO26=13,"Mayor",IF(AO26=14,"Mayor",IF(AO26=15,"Catastrófico",IF(AO26=16,"Catastrófico",IF(AO26=17,"Catastrófico",IF(AO26=18,"Catastrófico",IF(AO26=19,"Catastrofíco",IF(AO26=20,"Catastrofico"))))))))))))))))))))</f>
        <v>Catastrófico</v>
      </c>
      <c r="AP27" s="191"/>
      <c r="AQ27" s="191" t="str">
        <f t="shared" ref="AQ27" si="39">+IF(AQ26=1, "leve",IF(AQ26=2,"Leve",IF(AQ26=3,"Leve",IF(AQ26=4,"Menor",IF(AQ26=5,"Menor",IF(AQ26=6,"Menor",IF(AQ26=7,"Moderado",IF(AQ26=8,"Moderado",IF(AQ26=9,"Moderado",IF(AQ26=10,"Moderado",IF(AQ26=11,"Mayor",IF(AQ26=12,"Mayor",IF(AQ26=13,"Mayor",IF(AQ26=14,"Mayor",IF(AQ26=15,"Catastrófico",IF(AQ26=16,"Catastrófico",IF(AQ26=17,"Catastrófico",IF(AQ26=18,"Catastrófico",IF(AQ26=19,"Catastrofíco",IF(AQ26=20,"Catastrofico"))))))))))))))))))))</f>
        <v>Catastrófico</v>
      </c>
      <c r="AR27" s="191"/>
      <c r="AS27" s="191" t="str">
        <f t="shared" ref="AS27" si="40">+IF(AS26=1, "leve",IF(AS26=2,"Leve",IF(AS26=3,"Leve",IF(AS26=4,"Menor",IF(AS26=5,"Menor",IF(AS26=6,"Menor",IF(AS26=7,"Moderado",IF(AS26=8,"Moderado",IF(AS26=9,"Moderado",IF(AS26=10,"Moderado",IF(AS26=11,"Mayor",IF(AS26=12,"Mayor",IF(AS26=13,"Mayor",IF(AS26=14,"Mayor",IF(AS26=15,"Catastrófico",IF(AS26=16,"Catastrófico",IF(AS26=17,"Catastrófico",IF(AS26=18,"Catastrófico",IF(AS26=19,"Catastrofíco",IF(AS26=20,"Catastrofico"))))))))))))))))))))</f>
        <v>Catastrófico</v>
      </c>
      <c r="AT27" s="191"/>
      <c r="AU27" s="191" t="str">
        <f t="shared" ref="AU27" si="41">+IF(AU26=1, "leve",IF(AU26=2,"Leve",IF(AU26=3,"Leve",IF(AU26=4,"Menor",IF(AU26=5,"Menor",IF(AU26=6,"Menor",IF(AU26=7,"Moderado",IF(AU26=8,"Moderado",IF(AU26=9,"Moderado",IF(AU26=10,"Moderado",IF(AU26=11,"Mayor",IF(AU26=12,"Mayor",IF(AU26=13,"Mayor",IF(AU26=14,"Mayor",IF(AU26=15,"Catastrófico",IF(AU26=16,"Catastrófico",IF(AU26=17,"Catastrófico",IF(AU26=18,"Catastrófico",IF(AU26=19,"Catastrofíco",IF(AU26=20,"Catastrofico"))))))))))))))))))))</f>
        <v>Catastrófico</v>
      </c>
      <c r="AV27" s="191"/>
      <c r="AW27" s="191" t="str">
        <f t="shared" ref="AW27" si="42">+IF(AW26=1, "leve",IF(AW26=2,"Leve",IF(AW26=3,"Leve",IF(AW26=4,"Menor",IF(AW26=5,"Menor",IF(AW26=6,"Menor",IF(AW26=7,"Moderado",IF(AW26=8,"Moderado",IF(AW26=9,"Moderado",IF(AW26=10,"Moderado",IF(AW26=11,"Mayor",IF(AW26=12,"Mayor",IF(AW26=13,"Mayor",IF(AW26=14,"Mayor",IF(AW26=15,"Catastrófico",IF(AW26=16,"Catastrófico",IF(AW26=17,"Catastrófico",IF(AW26=18,"Catastrófico",IF(AW26=19,"Catastrofíco",IF(AW26=20,"Catastrofico"))))))))))))))))))))</f>
        <v>Mayor</v>
      </c>
      <c r="AX27" s="191"/>
      <c r="AY27" s="191" t="str">
        <f t="shared" ref="AY27" si="43">+IF(AY26=1, "leve",IF(AY26=2,"Leve",IF(AY26=3,"Leve",IF(AY26=4,"Menor",IF(AY26=5,"Menor",IF(AY26=6,"Menor",IF(AY26=7,"Moderado",IF(AY26=8,"Moderado",IF(AY26=9,"Moderado",IF(AY26=10,"Moderado",IF(AY26=11,"Mayor",IF(AY26=12,"Mayor",IF(AY26=13,"Mayor",IF(AY26=14,"Mayor",IF(AY26=15,"Catastrófico",IF(AY26=16,"Catastrófico",IF(AY26=17,"Catastrófico",IF(AY26=18,"Catastrófico",IF(AY26=19,"Catastrofíco",IF(AY26=20,"Catastrofico"))))))))))))))))))))</f>
        <v>Moderado</v>
      </c>
      <c r="AZ27" s="191"/>
      <c r="BA27" s="191" t="str">
        <f t="shared" ref="BA27" si="44">+IF(BA26=1, "leve",IF(BA26=2,"Leve",IF(BA26=3,"Leve",IF(BA26=4,"Menor",IF(BA26=5,"Menor",IF(BA26=6,"Menor",IF(BA26=7,"Moderado",IF(BA26=8,"Moderado",IF(BA26=9,"Moderado",IF(BA26=10,"Moderado",IF(BA26=11,"Mayor",IF(BA26=12,"Mayor",IF(BA26=13,"Mayor",IF(BA26=14,"Mayor",IF(BA26=15,"Catastrófico",IF(BA26=16,"Catastrófico",IF(BA26=17,"Catastrófico",IF(BA26=18,"Catastrófico",IF(BA26=19,"Catastrofíco",IF(BA26=20,"Catastrofico"))))))))))))))))))))</f>
        <v>Catastrófico</v>
      </c>
      <c r="BB27" s="191"/>
      <c r="BC27" s="191" t="str">
        <f t="shared" ref="BC27" si="45">+IF(BC26=1, "leve",IF(BC26=2,"Leve",IF(BC26=3,"Leve",IF(BC26=4,"Menor",IF(BC26=5,"Menor",IF(BC26=6,"Menor",IF(BC26=7,"Moderado",IF(BC26=8,"Moderado",IF(BC26=9,"Moderado",IF(BC26=10,"Moderado",IF(BC26=11,"Mayor",IF(BC26=12,"Mayor",IF(BC26=13,"Mayor",IF(BC26=14,"Mayor",IF(BC26=15,"Catastrófico",IF(BC26=16,"Catastrófico",IF(BC26=17,"Catastrófico",IF(BC26=18,"Catastrófico",IF(BC26=19,"Catastrofíco",IF(BC26=20,"Catastrofico"))))))))))))))))))))</f>
        <v>Mayor</v>
      </c>
      <c r="BD27" s="191"/>
      <c r="BE27" s="191" t="str">
        <f t="shared" ref="BE27" si="46">+IF(BE26=1, "leve",IF(BE26=2,"Leve",IF(BE26=3,"Leve",IF(BE26=4,"Menor",IF(BE26=5,"Menor",IF(BE26=6,"Menor",IF(BE26=7,"Moderado",IF(BE26=8,"Moderado",IF(BE26=9,"Moderado",IF(BE26=10,"Moderado",IF(BE26=11,"Mayor",IF(BE26=12,"Mayor",IF(BE26=13,"Mayor",IF(BE26=14,"Mayor",IF(BE26=15,"Catastrófico",IF(BE26=16,"Catastrófico",IF(BE26=17,"Catastrófico",IF(BE26=18,"Catastrófico",IF(BE26=19,"Catastrofíco",IF(BE26=20,"Catastrofico"))))))))))))))))))))</f>
        <v>Leve</v>
      </c>
      <c r="BF27" s="191"/>
      <c r="BG27" s="191" t="str">
        <f t="shared" ref="BG27" si="47">+IF(BG26=1, "leve",IF(BG26=2,"Leve",IF(BG26=3,"Leve",IF(BG26=4,"Menor",IF(BG26=5,"Menor",IF(BG26=6,"Menor",IF(BG26=7,"Moderado",IF(BG26=8,"Moderado",IF(BG26=9,"Moderado",IF(BG26=10,"Moderado",IF(BG26=11,"Mayor",IF(BG26=12,"Mayor",IF(BG26=13,"Mayor",IF(BG26=14,"Mayor",IF(BG26=15,"Catastrófico",IF(BG26=16,"Catastrófico",IF(BG26=17,"Catastrófico",IF(BG26=18,"Catastrófico",IF(BG26=19,"Catastrofíco",IF(BG26=20,"Catastrofico"))))))))))))))))))))</f>
        <v>Catastrófico</v>
      </c>
      <c r="BH27" s="191"/>
      <c r="BI27" s="191" t="str">
        <f t="shared" ref="BI27" si="48">+IF(BI26=1, "leve",IF(BI26=2,"Leve",IF(BI26=3,"Leve",IF(BI26=4,"Menor",IF(BI26=5,"Menor",IF(BI26=6,"Menor",IF(BI26=7,"Moderado",IF(BI26=8,"Moderado",IF(BI26=9,"Moderado",IF(BI26=10,"Moderado",IF(BI26=11,"Mayor",IF(BI26=12,"Mayor",IF(BI26=13,"Mayor",IF(BI26=14,"Mayor",IF(BI26=15,"Catastrófico",IF(BI26=16,"Catastrófico",IF(BI26=17,"Catastrófico",IF(BI26=18,"Catastrófico",IF(BI26=19,"Catastrofíco",IF(BI26=20,"Catastrofico"))))))))))))))))))))</f>
        <v>Mayor</v>
      </c>
      <c r="BJ27" s="191"/>
      <c r="BK27" s="191" t="str">
        <f t="shared" ref="BK27" si="49">+IF(BK26=1, "leve",IF(BK26=2,"Leve",IF(BK26=3,"Leve",IF(BK26=4,"Menor",IF(BK26=5,"Menor",IF(BK26=6,"Menor",IF(BK26=7,"Moderado",IF(BK26=8,"Moderado",IF(BK26=9,"Moderado",IF(BK26=10,"Moderado",IF(BK26=11,"Mayor",IF(BK26=12,"Mayor",IF(BK26=13,"Mayor",IF(BK26=14,"Mayor",IF(BK26=15,"Catastrófico",IF(BK26=16,"Catastrófico",IF(BK26=17,"Catastrófico",IF(BK26=18,"Catastrófico",IF(BK26=19,"Catastrofíco",IF(BK26=20,"Catastrofico"))))))))))))))))))))</f>
        <v>Mayor</v>
      </c>
      <c r="BL27" s="191"/>
      <c r="BM27" s="191" t="str">
        <f t="shared" ref="BM27" si="50">+IF(BM26=1, "leve",IF(BM26=2,"Leve",IF(BM26=3,"Leve",IF(BM26=4,"Menor",IF(BM26=5,"Menor",IF(BM26=6,"Menor",IF(BM26=7,"Moderado",IF(BM26=8,"Moderado",IF(BM26=9,"Moderado",IF(BM26=10,"Moderado",IF(BM26=11,"Mayor",IF(BM26=12,"Mayor",IF(BM26=13,"Mayor",IF(BM26=14,"Mayor",IF(BM26=15,"Catastrófico",IF(BM26=16,"Catastrófico",IF(BM26=17,"Catastrófico",IF(BM26=18,"Catastrófico",IF(BM26=19,"Catastrofíco",IF(BM26=20,"Catastrofico"))))))))))))))))))))</f>
        <v>Mayor</v>
      </c>
      <c r="BN27" s="191"/>
      <c r="BO27" s="505"/>
      <c r="BP27" s="505"/>
      <c r="BQ27" s="505"/>
      <c r="BR27" s="505"/>
    </row>
    <row r="31" spans="2:70" x14ac:dyDescent="0.15">
      <c r="C31" s="510" t="s">
        <v>197</v>
      </c>
      <c r="D31" s="510"/>
      <c r="E31" s="510" t="s">
        <v>50</v>
      </c>
      <c r="F31" s="510"/>
    </row>
    <row r="32" spans="2:70" x14ac:dyDescent="0.15">
      <c r="C32" s="492" t="s">
        <v>445</v>
      </c>
      <c r="D32" s="492"/>
      <c r="E32" s="492" t="s">
        <v>390</v>
      </c>
      <c r="F32" s="492"/>
    </row>
    <row r="33" spans="3:6" x14ac:dyDescent="0.15">
      <c r="C33" s="492" t="s">
        <v>446</v>
      </c>
      <c r="D33" s="492"/>
      <c r="E33" s="492" t="s">
        <v>447</v>
      </c>
      <c r="F33" s="492"/>
    </row>
    <row r="34" spans="3:6" x14ac:dyDescent="0.15">
      <c r="C34" s="492" t="s">
        <v>448</v>
      </c>
      <c r="D34" s="492"/>
      <c r="E34" s="492" t="s">
        <v>66</v>
      </c>
      <c r="F34" s="492"/>
    </row>
    <row r="35" spans="3:6" x14ac:dyDescent="0.15">
      <c r="C35" s="492" t="s">
        <v>449</v>
      </c>
      <c r="D35" s="492"/>
      <c r="E35" s="492" t="s">
        <v>5</v>
      </c>
      <c r="F35" s="492"/>
    </row>
    <row r="36" spans="3:6" x14ac:dyDescent="0.15">
      <c r="C36" s="492" t="s">
        <v>450</v>
      </c>
      <c r="D36" s="492"/>
      <c r="E36" s="492" t="s">
        <v>198</v>
      </c>
      <c r="F36" s="492"/>
    </row>
    <row r="37" spans="3:6" x14ac:dyDescent="0.15">
      <c r="C37" s="505"/>
      <c r="D37" s="505"/>
    </row>
  </sheetData>
  <mergeCells count="107">
    <mergeCell ref="AM3:AN3"/>
    <mergeCell ref="AO3:AP3"/>
    <mergeCell ref="AS2:AT2"/>
    <mergeCell ref="AS3:AT3"/>
    <mergeCell ref="AA2:AB2"/>
    <mergeCell ref="AC2:AD2"/>
    <mergeCell ref="AE2:AF2"/>
    <mergeCell ref="AG2:AH2"/>
    <mergeCell ref="AI2:AJ2"/>
    <mergeCell ref="AK2:AL2"/>
    <mergeCell ref="AM2:AN2"/>
    <mergeCell ref="AO2:AP2"/>
    <mergeCell ref="AQ2:AR2"/>
    <mergeCell ref="AA3:AB3"/>
    <mergeCell ref="AC3:AD3"/>
    <mergeCell ref="AE3:AF3"/>
    <mergeCell ref="W2:X2"/>
    <mergeCell ref="W3:X3"/>
    <mergeCell ref="Y2:Z2"/>
    <mergeCell ref="Y3:Z3"/>
    <mergeCell ref="S2:T2"/>
    <mergeCell ref="S3:T3"/>
    <mergeCell ref="U2:V2"/>
    <mergeCell ref="U3:V3"/>
    <mergeCell ref="O2:P2"/>
    <mergeCell ref="O3:P3"/>
    <mergeCell ref="Q2:R2"/>
    <mergeCell ref="Q3:R3"/>
    <mergeCell ref="K2:L2"/>
    <mergeCell ref="K3:L3"/>
    <mergeCell ref="M2:N2"/>
    <mergeCell ref="M3:N3"/>
    <mergeCell ref="I2:J2"/>
    <mergeCell ref="I3:J3"/>
    <mergeCell ref="C37:D37"/>
    <mergeCell ref="C34:D34"/>
    <mergeCell ref="E34:F34"/>
    <mergeCell ref="C35:D35"/>
    <mergeCell ref="E35:F35"/>
    <mergeCell ref="C36:D36"/>
    <mergeCell ref="C7:H7"/>
    <mergeCell ref="C8:H8"/>
    <mergeCell ref="C9:H9"/>
    <mergeCell ref="C10:H10"/>
    <mergeCell ref="C31:D31"/>
    <mergeCell ref="C32:D32"/>
    <mergeCell ref="C17:H17"/>
    <mergeCell ref="C19:H19"/>
    <mergeCell ref="C20:H20"/>
    <mergeCell ref="C21:H21"/>
    <mergeCell ref="BO2:BP2"/>
    <mergeCell ref="BQ2:BR2"/>
    <mergeCell ref="BE3:BF3"/>
    <mergeCell ref="BG3:BH3"/>
    <mergeCell ref="BI3:BJ3"/>
    <mergeCell ref="BK3:BL3"/>
    <mergeCell ref="BM3:BN3"/>
    <mergeCell ref="BO3:BP3"/>
    <mergeCell ref="BQ3:BR3"/>
    <mergeCell ref="AU3:AV3"/>
    <mergeCell ref="E36:F36"/>
    <mergeCell ref="BO27:BP27"/>
    <mergeCell ref="BQ27:BR27"/>
    <mergeCell ref="BO26:BP26"/>
    <mergeCell ref="BQ26:BR26"/>
    <mergeCell ref="C24:H24"/>
    <mergeCell ref="C25:D25"/>
    <mergeCell ref="E25:H25"/>
    <mergeCell ref="C22:H22"/>
    <mergeCell ref="C3:H4"/>
    <mergeCell ref="C18:H18"/>
    <mergeCell ref="C11:H11"/>
    <mergeCell ref="C12:H12"/>
    <mergeCell ref="C13:H13"/>
    <mergeCell ref="C14:H14"/>
    <mergeCell ref="AQ3:AR3"/>
    <mergeCell ref="AG3:AH3"/>
    <mergeCell ref="AI3:AJ3"/>
    <mergeCell ref="AK3:AL3"/>
    <mergeCell ref="C33:D33"/>
    <mergeCell ref="E31:F31"/>
    <mergeCell ref="E32:F32"/>
    <mergeCell ref="E33:F33"/>
    <mergeCell ref="B1:BN1"/>
    <mergeCell ref="BE2:BF2"/>
    <mergeCell ref="BG2:BH2"/>
    <mergeCell ref="BI2:BJ2"/>
    <mergeCell ref="BK2:BL2"/>
    <mergeCell ref="BM2:BN2"/>
    <mergeCell ref="C26:H26"/>
    <mergeCell ref="C27:H27"/>
    <mergeCell ref="B3:B4"/>
    <mergeCell ref="B2:H2"/>
    <mergeCell ref="C23:H23"/>
    <mergeCell ref="AW3:AX3"/>
    <mergeCell ref="AY3:AZ3"/>
    <mergeCell ref="BA3:BB3"/>
    <mergeCell ref="BC3:BD3"/>
    <mergeCell ref="BC2:BD2"/>
    <mergeCell ref="AU2:AV2"/>
    <mergeCell ref="AW2:AX2"/>
    <mergeCell ref="AY2:AZ2"/>
    <mergeCell ref="BA2:BB2"/>
    <mergeCell ref="C15:H15"/>
    <mergeCell ref="C16:H16"/>
    <mergeCell ref="C5:H5"/>
    <mergeCell ref="C6:H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tabColor theme="7" tint="-0.249977111117893"/>
  </sheetPr>
  <dimension ref="B1:F16"/>
  <sheetViews>
    <sheetView workbookViewId="0">
      <selection activeCell="C9" sqref="C9:C10"/>
    </sheetView>
  </sheetViews>
  <sheetFormatPr baseColWidth="10" defaultColWidth="14.28515625" defaultRowHeight="12.75" x14ac:dyDescent="0.2"/>
  <cols>
    <col min="1" max="2" width="14.28515625" style="23"/>
    <col min="3" max="3" width="17" style="23" customWidth="1"/>
    <col min="4" max="4" width="14.28515625" style="23"/>
    <col min="5" max="5" width="46" style="23" customWidth="1"/>
    <col min="6" max="16384" width="14.28515625" style="23"/>
  </cols>
  <sheetData>
    <row r="1" spans="2:6" ht="24" customHeight="1" thickBot="1" x14ac:dyDescent="0.25">
      <c r="B1" s="513" t="s">
        <v>63</v>
      </c>
      <c r="C1" s="514"/>
      <c r="D1" s="514"/>
      <c r="E1" s="514"/>
      <c r="F1" s="515"/>
    </row>
    <row r="2" spans="2:6" ht="16.5" thickBot="1" x14ac:dyDescent="0.3">
      <c r="B2" s="24"/>
      <c r="C2" s="24"/>
      <c r="D2" s="24"/>
      <c r="E2" s="24"/>
      <c r="F2" s="24"/>
    </row>
    <row r="3" spans="2:6" ht="16.5" thickBot="1" x14ac:dyDescent="0.25">
      <c r="B3" s="517" t="s">
        <v>49</v>
      </c>
      <c r="C3" s="518"/>
      <c r="D3" s="518"/>
      <c r="E3" s="36" t="s">
        <v>50</v>
      </c>
      <c r="F3" s="37" t="s">
        <v>51</v>
      </c>
    </row>
    <row r="4" spans="2:6" ht="31.5" x14ac:dyDescent="0.2">
      <c r="B4" s="519" t="s">
        <v>52</v>
      </c>
      <c r="C4" s="521" t="s">
        <v>11</v>
      </c>
      <c r="D4" s="25" t="s">
        <v>12</v>
      </c>
      <c r="E4" s="26" t="s">
        <v>53</v>
      </c>
      <c r="F4" s="27">
        <v>0.25</v>
      </c>
    </row>
    <row r="5" spans="2:6" ht="47.25" x14ac:dyDescent="0.2">
      <c r="B5" s="520"/>
      <c r="C5" s="522"/>
      <c r="D5" s="28" t="s">
        <v>13</v>
      </c>
      <c r="E5" s="29" t="s">
        <v>54</v>
      </c>
      <c r="F5" s="30">
        <v>0.15</v>
      </c>
    </row>
    <row r="6" spans="2:6" ht="47.25" customHeight="1" x14ac:dyDescent="0.2">
      <c r="B6" s="520"/>
      <c r="C6" s="522"/>
      <c r="D6" s="28" t="s">
        <v>14</v>
      </c>
      <c r="E6" s="29" t="s">
        <v>55</v>
      </c>
      <c r="F6" s="30">
        <v>0.1</v>
      </c>
    </row>
    <row r="7" spans="2:6" ht="63" customHeight="1" x14ac:dyDescent="0.2">
      <c r="B7" s="520"/>
      <c r="C7" s="522" t="s">
        <v>15</v>
      </c>
      <c r="D7" s="28" t="s">
        <v>8</v>
      </c>
      <c r="E7" s="29" t="s">
        <v>56</v>
      </c>
      <c r="F7" s="30">
        <v>0.25</v>
      </c>
    </row>
    <row r="8" spans="2:6" ht="31.5" x14ac:dyDescent="0.2">
      <c r="B8" s="520"/>
      <c r="C8" s="522"/>
      <c r="D8" s="28" t="s">
        <v>7</v>
      </c>
      <c r="E8" s="29" t="s">
        <v>57</v>
      </c>
      <c r="F8" s="30">
        <v>0.15</v>
      </c>
    </row>
    <row r="9" spans="2:6" ht="47.25" x14ac:dyDescent="0.2">
      <c r="B9" s="520" t="s">
        <v>110</v>
      </c>
      <c r="C9" s="522" t="s">
        <v>16</v>
      </c>
      <c r="D9" s="28" t="s">
        <v>17</v>
      </c>
      <c r="E9" s="29" t="s">
        <v>58</v>
      </c>
      <c r="F9" s="31" t="s">
        <v>59</v>
      </c>
    </row>
    <row r="10" spans="2:6" ht="63" x14ac:dyDescent="0.2">
      <c r="B10" s="520"/>
      <c r="C10" s="522"/>
      <c r="D10" s="28" t="s">
        <v>18</v>
      </c>
      <c r="E10" s="29" t="s">
        <v>60</v>
      </c>
      <c r="F10" s="31" t="s">
        <v>59</v>
      </c>
    </row>
    <row r="11" spans="2:6" ht="47.25" x14ac:dyDescent="0.2">
      <c r="B11" s="520"/>
      <c r="C11" s="522" t="s">
        <v>19</v>
      </c>
      <c r="D11" s="28" t="s">
        <v>20</v>
      </c>
      <c r="E11" s="29" t="s">
        <v>61</v>
      </c>
      <c r="F11" s="31" t="s">
        <v>59</v>
      </c>
    </row>
    <row r="12" spans="2:6" ht="47.25" x14ac:dyDescent="0.2">
      <c r="B12" s="520"/>
      <c r="C12" s="522"/>
      <c r="D12" s="28" t="s">
        <v>21</v>
      </c>
      <c r="E12" s="29" t="s">
        <v>62</v>
      </c>
      <c r="F12" s="31" t="s">
        <v>59</v>
      </c>
    </row>
    <row r="13" spans="2:6" ht="31.5" x14ac:dyDescent="0.2">
      <c r="B13" s="520"/>
      <c r="C13" s="522" t="s">
        <v>22</v>
      </c>
      <c r="D13" s="28" t="s">
        <v>86</v>
      </c>
      <c r="E13" s="29" t="s">
        <v>89</v>
      </c>
      <c r="F13" s="31" t="s">
        <v>59</v>
      </c>
    </row>
    <row r="14" spans="2:6" ht="32.25" thickBot="1" x14ac:dyDescent="0.25">
      <c r="B14" s="523"/>
      <c r="C14" s="524"/>
      <c r="D14" s="32" t="s">
        <v>87</v>
      </c>
      <c r="E14" s="33" t="s">
        <v>88</v>
      </c>
      <c r="F14" s="34" t="s">
        <v>59</v>
      </c>
    </row>
    <row r="15" spans="2:6" ht="49.5" customHeight="1" x14ac:dyDescent="0.2">
      <c r="B15" s="516" t="s">
        <v>107</v>
      </c>
      <c r="C15" s="516"/>
      <c r="D15" s="516"/>
      <c r="E15" s="516"/>
      <c r="F15" s="516"/>
    </row>
    <row r="16" spans="2:6" ht="27" customHeight="1" x14ac:dyDescent="0.25">
      <c r="B16" s="3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8"/>
  <sheetViews>
    <sheetView workbookViewId="0">
      <selection activeCell="B10" sqref="B10:H10"/>
    </sheetView>
  </sheetViews>
  <sheetFormatPr baseColWidth="10" defaultRowHeight="12.75" x14ac:dyDescent="0.2"/>
  <cols>
    <col min="1" max="1" width="11.42578125" style="56"/>
    <col min="2" max="2" width="9.5703125" style="56" customWidth="1"/>
    <col min="3" max="3" width="9.7109375" style="56" customWidth="1"/>
    <col min="4" max="4" width="16.140625" style="56" customWidth="1"/>
    <col min="5" max="5" width="35.85546875" style="56" customWidth="1"/>
    <col min="6" max="6" width="24" style="56" customWidth="1"/>
    <col min="7" max="7" width="9.28515625" style="56" customWidth="1"/>
    <col min="8" max="8" width="9.5703125" style="56" customWidth="1"/>
    <col min="9" max="257" width="11.42578125" style="56"/>
    <col min="258" max="258" width="9.5703125" style="56" customWidth="1"/>
    <col min="259" max="259" width="5.42578125" style="56" customWidth="1"/>
    <col min="260" max="260" width="16.140625" style="56" customWidth="1"/>
    <col min="261" max="261" width="35.85546875" style="56" customWidth="1"/>
    <col min="262" max="262" width="24" style="56" customWidth="1"/>
    <col min="263" max="263" width="9.28515625" style="56" customWidth="1"/>
    <col min="264" max="264" width="9.5703125" style="56" customWidth="1"/>
    <col min="265" max="513" width="11.42578125" style="56"/>
    <col min="514" max="514" width="9.5703125" style="56" customWidth="1"/>
    <col min="515" max="515" width="5.42578125" style="56" customWidth="1"/>
    <col min="516" max="516" width="16.140625" style="56" customWidth="1"/>
    <col min="517" max="517" width="35.85546875" style="56" customWidth="1"/>
    <col min="518" max="518" width="24" style="56" customWidth="1"/>
    <col min="519" max="519" width="9.28515625" style="56" customWidth="1"/>
    <col min="520" max="520" width="9.5703125" style="56" customWidth="1"/>
    <col min="521" max="769" width="11.42578125" style="56"/>
    <col min="770" max="770" width="9.5703125" style="56" customWidth="1"/>
    <col min="771" max="771" width="5.42578125" style="56" customWidth="1"/>
    <col min="772" max="772" width="16.140625" style="56" customWidth="1"/>
    <col min="773" max="773" width="35.85546875" style="56" customWidth="1"/>
    <col min="774" max="774" width="24" style="56" customWidth="1"/>
    <col min="775" max="775" width="9.28515625" style="56" customWidth="1"/>
    <col min="776" max="776" width="9.5703125" style="56" customWidth="1"/>
    <col min="777" max="1025" width="11.42578125" style="56"/>
    <col min="1026" max="1026" width="9.5703125" style="56" customWidth="1"/>
    <col min="1027" max="1027" width="5.42578125" style="56" customWidth="1"/>
    <col min="1028" max="1028" width="16.140625" style="56" customWidth="1"/>
    <col min="1029" max="1029" width="35.85546875" style="56" customWidth="1"/>
    <col min="1030" max="1030" width="24" style="56" customWidth="1"/>
    <col min="1031" max="1031" width="9.28515625" style="56" customWidth="1"/>
    <col min="1032" max="1032" width="9.5703125" style="56" customWidth="1"/>
    <col min="1033" max="1281" width="11.42578125" style="56"/>
    <col min="1282" max="1282" width="9.5703125" style="56" customWidth="1"/>
    <col min="1283" max="1283" width="5.42578125" style="56" customWidth="1"/>
    <col min="1284" max="1284" width="16.140625" style="56" customWidth="1"/>
    <col min="1285" max="1285" width="35.85546875" style="56" customWidth="1"/>
    <col min="1286" max="1286" width="24" style="56" customWidth="1"/>
    <col min="1287" max="1287" width="9.28515625" style="56" customWidth="1"/>
    <col min="1288" max="1288" width="9.5703125" style="56" customWidth="1"/>
    <col min="1289" max="1537" width="11.42578125" style="56"/>
    <col min="1538" max="1538" width="9.5703125" style="56" customWidth="1"/>
    <col min="1539" max="1539" width="5.42578125" style="56" customWidth="1"/>
    <col min="1540" max="1540" width="16.140625" style="56" customWidth="1"/>
    <col min="1541" max="1541" width="35.85546875" style="56" customWidth="1"/>
    <col min="1542" max="1542" width="24" style="56" customWidth="1"/>
    <col min="1543" max="1543" width="9.28515625" style="56" customWidth="1"/>
    <col min="1544" max="1544" width="9.5703125" style="56" customWidth="1"/>
    <col min="1545" max="1793" width="11.42578125" style="56"/>
    <col min="1794" max="1794" width="9.5703125" style="56" customWidth="1"/>
    <col min="1795" max="1795" width="5.42578125" style="56" customWidth="1"/>
    <col min="1796" max="1796" width="16.140625" style="56" customWidth="1"/>
    <col min="1797" max="1797" width="35.85546875" style="56" customWidth="1"/>
    <col min="1798" max="1798" width="24" style="56" customWidth="1"/>
    <col min="1799" max="1799" width="9.28515625" style="56" customWidth="1"/>
    <col min="1800" max="1800" width="9.5703125" style="56" customWidth="1"/>
    <col min="1801" max="2049" width="11.42578125" style="56"/>
    <col min="2050" max="2050" width="9.5703125" style="56" customWidth="1"/>
    <col min="2051" max="2051" width="5.42578125" style="56" customWidth="1"/>
    <col min="2052" max="2052" width="16.140625" style="56" customWidth="1"/>
    <col min="2053" max="2053" width="35.85546875" style="56" customWidth="1"/>
    <col min="2054" max="2054" width="24" style="56" customWidth="1"/>
    <col min="2055" max="2055" width="9.28515625" style="56" customWidth="1"/>
    <col min="2056" max="2056" width="9.5703125" style="56" customWidth="1"/>
    <col min="2057" max="2305" width="11.42578125" style="56"/>
    <col min="2306" max="2306" width="9.5703125" style="56" customWidth="1"/>
    <col min="2307" max="2307" width="5.42578125" style="56" customWidth="1"/>
    <col min="2308" max="2308" width="16.140625" style="56" customWidth="1"/>
    <col min="2309" max="2309" width="35.85546875" style="56" customWidth="1"/>
    <col min="2310" max="2310" width="24" style="56" customWidth="1"/>
    <col min="2311" max="2311" width="9.28515625" style="56" customWidth="1"/>
    <col min="2312" max="2312" width="9.5703125" style="56" customWidth="1"/>
    <col min="2313" max="2561" width="11.42578125" style="56"/>
    <col min="2562" max="2562" width="9.5703125" style="56" customWidth="1"/>
    <col min="2563" max="2563" width="5.42578125" style="56" customWidth="1"/>
    <col min="2564" max="2564" width="16.140625" style="56" customWidth="1"/>
    <col min="2565" max="2565" width="35.85546875" style="56" customWidth="1"/>
    <col min="2566" max="2566" width="24" style="56" customWidth="1"/>
    <col min="2567" max="2567" width="9.28515625" style="56" customWidth="1"/>
    <col min="2568" max="2568" width="9.5703125" style="56" customWidth="1"/>
    <col min="2569" max="2817" width="11.42578125" style="56"/>
    <col min="2818" max="2818" width="9.5703125" style="56" customWidth="1"/>
    <col min="2819" max="2819" width="5.42578125" style="56" customWidth="1"/>
    <col min="2820" max="2820" width="16.140625" style="56" customWidth="1"/>
    <col min="2821" max="2821" width="35.85546875" style="56" customWidth="1"/>
    <col min="2822" max="2822" width="24" style="56" customWidth="1"/>
    <col min="2823" max="2823" width="9.28515625" style="56" customWidth="1"/>
    <col min="2824" max="2824" width="9.5703125" style="56" customWidth="1"/>
    <col min="2825" max="3073" width="11.42578125" style="56"/>
    <col min="3074" max="3074" width="9.5703125" style="56" customWidth="1"/>
    <col min="3075" max="3075" width="5.42578125" style="56" customWidth="1"/>
    <col min="3076" max="3076" width="16.140625" style="56" customWidth="1"/>
    <col min="3077" max="3077" width="35.85546875" style="56" customWidth="1"/>
    <col min="3078" max="3078" width="24" style="56" customWidth="1"/>
    <col min="3079" max="3079" width="9.28515625" style="56" customWidth="1"/>
    <col min="3080" max="3080" width="9.5703125" style="56" customWidth="1"/>
    <col min="3081" max="3329" width="11.42578125" style="56"/>
    <col min="3330" max="3330" width="9.5703125" style="56" customWidth="1"/>
    <col min="3331" max="3331" width="5.42578125" style="56" customWidth="1"/>
    <col min="3332" max="3332" width="16.140625" style="56" customWidth="1"/>
    <col min="3333" max="3333" width="35.85546875" style="56" customWidth="1"/>
    <col min="3334" max="3334" width="24" style="56" customWidth="1"/>
    <col min="3335" max="3335" width="9.28515625" style="56" customWidth="1"/>
    <col min="3336" max="3336" width="9.5703125" style="56" customWidth="1"/>
    <col min="3337" max="3585" width="11.42578125" style="56"/>
    <col min="3586" max="3586" width="9.5703125" style="56" customWidth="1"/>
    <col min="3587" max="3587" width="5.42578125" style="56" customWidth="1"/>
    <col min="3588" max="3588" width="16.140625" style="56" customWidth="1"/>
    <col min="3589" max="3589" width="35.85546875" style="56" customWidth="1"/>
    <col min="3590" max="3590" width="24" style="56" customWidth="1"/>
    <col min="3591" max="3591" width="9.28515625" style="56" customWidth="1"/>
    <col min="3592" max="3592" width="9.5703125" style="56" customWidth="1"/>
    <col min="3593" max="3841" width="11.42578125" style="56"/>
    <col min="3842" max="3842" width="9.5703125" style="56" customWidth="1"/>
    <col min="3843" max="3843" width="5.42578125" style="56" customWidth="1"/>
    <col min="3844" max="3844" width="16.140625" style="56" customWidth="1"/>
    <col min="3845" max="3845" width="35.85546875" style="56" customWidth="1"/>
    <col min="3846" max="3846" width="24" style="56" customWidth="1"/>
    <col min="3847" max="3847" width="9.28515625" style="56" customWidth="1"/>
    <col min="3848" max="3848" width="9.5703125" style="56" customWidth="1"/>
    <col min="3849" max="4097" width="11.42578125" style="56"/>
    <col min="4098" max="4098" width="9.5703125" style="56" customWidth="1"/>
    <col min="4099" max="4099" width="5.42578125" style="56" customWidth="1"/>
    <col min="4100" max="4100" width="16.140625" style="56" customWidth="1"/>
    <col min="4101" max="4101" width="35.85546875" style="56" customWidth="1"/>
    <col min="4102" max="4102" width="24" style="56" customWidth="1"/>
    <col min="4103" max="4103" width="9.28515625" style="56" customWidth="1"/>
    <col min="4104" max="4104" width="9.5703125" style="56" customWidth="1"/>
    <col min="4105" max="4353" width="11.42578125" style="56"/>
    <col min="4354" max="4354" width="9.5703125" style="56" customWidth="1"/>
    <col min="4355" max="4355" width="5.42578125" style="56" customWidth="1"/>
    <col min="4356" max="4356" width="16.140625" style="56" customWidth="1"/>
    <col min="4357" max="4357" width="35.85546875" style="56" customWidth="1"/>
    <col min="4358" max="4358" width="24" style="56" customWidth="1"/>
    <col min="4359" max="4359" width="9.28515625" style="56" customWidth="1"/>
    <col min="4360" max="4360" width="9.5703125" style="56" customWidth="1"/>
    <col min="4361" max="4609" width="11.42578125" style="56"/>
    <col min="4610" max="4610" width="9.5703125" style="56" customWidth="1"/>
    <col min="4611" max="4611" width="5.42578125" style="56" customWidth="1"/>
    <col min="4612" max="4612" width="16.140625" style="56" customWidth="1"/>
    <col min="4613" max="4613" width="35.85546875" style="56" customWidth="1"/>
    <col min="4614" max="4614" width="24" style="56" customWidth="1"/>
    <col min="4615" max="4615" width="9.28515625" style="56" customWidth="1"/>
    <col min="4616" max="4616" width="9.5703125" style="56" customWidth="1"/>
    <col min="4617" max="4865" width="11.42578125" style="56"/>
    <col min="4866" max="4866" width="9.5703125" style="56" customWidth="1"/>
    <col min="4867" max="4867" width="5.42578125" style="56" customWidth="1"/>
    <col min="4868" max="4868" width="16.140625" style="56" customWidth="1"/>
    <col min="4869" max="4869" width="35.85546875" style="56" customWidth="1"/>
    <col min="4870" max="4870" width="24" style="56" customWidth="1"/>
    <col min="4871" max="4871" width="9.28515625" style="56" customWidth="1"/>
    <col min="4872" max="4872" width="9.5703125" style="56" customWidth="1"/>
    <col min="4873" max="5121" width="11.42578125" style="56"/>
    <col min="5122" max="5122" width="9.5703125" style="56" customWidth="1"/>
    <col min="5123" max="5123" width="5.42578125" style="56" customWidth="1"/>
    <col min="5124" max="5124" width="16.140625" style="56" customWidth="1"/>
    <col min="5125" max="5125" width="35.85546875" style="56" customWidth="1"/>
    <col min="5126" max="5126" width="24" style="56" customWidth="1"/>
    <col min="5127" max="5127" width="9.28515625" style="56" customWidth="1"/>
    <col min="5128" max="5128" width="9.5703125" style="56" customWidth="1"/>
    <col min="5129" max="5377" width="11.42578125" style="56"/>
    <col min="5378" max="5378" width="9.5703125" style="56" customWidth="1"/>
    <col min="5379" max="5379" width="5.42578125" style="56" customWidth="1"/>
    <col min="5380" max="5380" width="16.140625" style="56" customWidth="1"/>
    <col min="5381" max="5381" width="35.85546875" style="56" customWidth="1"/>
    <col min="5382" max="5382" width="24" style="56" customWidth="1"/>
    <col min="5383" max="5383" width="9.28515625" style="56" customWidth="1"/>
    <col min="5384" max="5384" width="9.5703125" style="56" customWidth="1"/>
    <col min="5385" max="5633" width="11.42578125" style="56"/>
    <col min="5634" max="5634" width="9.5703125" style="56" customWidth="1"/>
    <col min="5635" max="5635" width="5.42578125" style="56" customWidth="1"/>
    <col min="5636" max="5636" width="16.140625" style="56" customWidth="1"/>
    <col min="5637" max="5637" width="35.85546875" style="56" customWidth="1"/>
    <col min="5638" max="5638" width="24" style="56" customWidth="1"/>
    <col min="5639" max="5639" width="9.28515625" style="56" customWidth="1"/>
    <col min="5640" max="5640" width="9.5703125" style="56" customWidth="1"/>
    <col min="5641" max="5889" width="11.42578125" style="56"/>
    <col min="5890" max="5890" width="9.5703125" style="56" customWidth="1"/>
    <col min="5891" max="5891" width="5.42578125" style="56" customWidth="1"/>
    <col min="5892" max="5892" width="16.140625" style="56" customWidth="1"/>
    <col min="5893" max="5893" width="35.85546875" style="56" customWidth="1"/>
    <col min="5894" max="5894" width="24" style="56" customWidth="1"/>
    <col min="5895" max="5895" width="9.28515625" style="56" customWidth="1"/>
    <col min="5896" max="5896" width="9.5703125" style="56" customWidth="1"/>
    <col min="5897" max="6145" width="11.42578125" style="56"/>
    <col min="6146" max="6146" width="9.5703125" style="56" customWidth="1"/>
    <col min="6147" max="6147" width="5.42578125" style="56" customWidth="1"/>
    <col min="6148" max="6148" width="16.140625" style="56" customWidth="1"/>
    <col min="6149" max="6149" width="35.85546875" style="56" customWidth="1"/>
    <col min="6150" max="6150" width="24" style="56" customWidth="1"/>
    <col min="6151" max="6151" width="9.28515625" style="56" customWidth="1"/>
    <col min="6152" max="6152" width="9.5703125" style="56" customWidth="1"/>
    <col min="6153" max="6401" width="11.42578125" style="56"/>
    <col min="6402" max="6402" width="9.5703125" style="56" customWidth="1"/>
    <col min="6403" max="6403" width="5.42578125" style="56" customWidth="1"/>
    <col min="6404" max="6404" width="16.140625" style="56" customWidth="1"/>
    <col min="6405" max="6405" width="35.85546875" style="56" customWidth="1"/>
    <col min="6406" max="6406" width="24" style="56" customWidth="1"/>
    <col min="6407" max="6407" width="9.28515625" style="56" customWidth="1"/>
    <col min="6408" max="6408" width="9.5703125" style="56" customWidth="1"/>
    <col min="6409" max="6657" width="11.42578125" style="56"/>
    <col min="6658" max="6658" width="9.5703125" style="56" customWidth="1"/>
    <col min="6659" max="6659" width="5.42578125" style="56" customWidth="1"/>
    <col min="6660" max="6660" width="16.140625" style="56" customWidth="1"/>
    <col min="6661" max="6661" width="35.85546875" style="56" customWidth="1"/>
    <col min="6662" max="6662" width="24" style="56" customWidth="1"/>
    <col min="6663" max="6663" width="9.28515625" style="56" customWidth="1"/>
    <col min="6664" max="6664" width="9.5703125" style="56" customWidth="1"/>
    <col min="6665" max="6913" width="11.42578125" style="56"/>
    <col min="6914" max="6914" width="9.5703125" style="56" customWidth="1"/>
    <col min="6915" max="6915" width="5.42578125" style="56" customWidth="1"/>
    <col min="6916" max="6916" width="16.140625" style="56" customWidth="1"/>
    <col min="6917" max="6917" width="35.85546875" style="56" customWidth="1"/>
    <col min="6918" max="6918" width="24" style="56" customWidth="1"/>
    <col min="6919" max="6919" width="9.28515625" style="56" customWidth="1"/>
    <col min="6920" max="6920" width="9.5703125" style="56" customWidth="1"/>
    <col min="6921" max="7169" width="11.42578125" style="56"/>
    <col min="7170" max="7170" width="9.5703125" style="56" customWidth="1"/>
    <col min="7171" max="7171" width="5.42578125" style="56" customWidth="1"/>
    <col min="7172" max="7172" width="16.140625" style="56" customWidth="1"/>
    <col min="7173" max="7173" width="35.85546875" style="56" customWidth="1"/>
    <col min="7174" max="7174" width="24" style="56" customWidth="1"/>
    <col min="7175" max="7175" width="9.28515625" style="56" customWidth="1"/>
    <col min="7176" max="7176" width="9.5703125" style="56" customWidth="1"/>
    <col min="7177" max="7425" width="11.42578125" style="56"/>
    <col min="7426" max="7426" width="9.5703125" style="56" customWidth="1"/>
    <col min="7427" max="7427" width="5.42578125" style="56" customWidth="1"/>
    <col min="7428" max="7428" width="16.140625" style="56" customWidth="1"/>
    <col min="7429" max="7429" width="35.85546875" style="56" customWidth="1"/>
    <col min="7430" max="7430" width="24" style="56" customWidth="1"/>
    <col min="7431" max="7431" width="9.28515625" style="56" customWidth="1"/>
    <col min="7432" max="7432" width="9.5703125" style="56" customWidth="1"/>
    <col min="7433" max="7681" width="11.42578125" style="56"/>
    <col min="7682" max="7682" width="9.5703125" style="56" customWidth="1"/>
    <col min="7683" max="7683" width="5.42578125" style="56" customWidth="1"/>
    <col min="7684" max="7684" width="16.140625" style="56" customWidth="1"/>
    <col min="7685" max="7685" width="35.85546875" style="56" customWidth="1"/>
    <col min="7686" max="7686" width="24" style="56" customWidth="1"/>
    <col min="7687" max="7687" width="9.28515625" style="56" customWidth="1"/>
    <col min="7688" max="7688" width="9.5703125" style="56" customWidth="1"/>
    <col min="7689" max="7937" width="11.42578125" style="56"/>
    <col min="7938" max="7938" width="9.5703125" style="56" customWidth="1"/>
    <col min="7939" max="7939" width="5.42578125" style="56" customWidth="1"/>
    <col min="7940" max="7940" width="16.140625" style="56" customWidth="1"/>
    <col min="7941" max="7941" width="35.85546875" style="56" customWidth="1"/>
    <col min="7942" max="7942" width="24" style="56" customWidth="1"/>
    <col min="7943" max="7943" width="9.28515625" style="56" customWidth="1"/>
    <col min="7944" max="7944" width="9.5703125" style="56" customWidth="1"/>
    <col min="7945" max="8193" width="11.42578125" style="56"/>
    <col min="8194" max="8194" width="9.5703125" style="56" customWidth="1"/>
    <col min="8195" max="8195" width="5.42578125" style="56" customWidth="1"/>
    <col min="8196" max="8196" width="16.140625" style="56" customWidth="1"/>
    <col min="8197" max="8197" width="35.85546875" style="56" customWidth="1"/>
    <col min="8198" max="8198" width="24" style="56" customWidth="1"/>
    <col min="8199" max="8199" width="9.28515625" style="56" customWidth="1"/>
    <col min="8200" max="8200" width="9.5703125" style="56" customWidth="1"/>
    <col min="8201" max="8449" width="11.42578125" style="56"/>
    <col min="8450" max="8450" width="9.5703125" style="56" customWidth="1"/>
    <col min="8451" max="8451" width="5.42578125" style="56" customWidth="1"/>
    <col min="8452" max="8452" width="16.140625" style="56" customWidth="1"/>
    <col min="8453" max="8453" width="35.85546875" style="56" customWidth="1"/>
    <col min="8454" max="8454" width="24" style="56" customWidth="1"/>
    <col min="8455" max="8455" width="9.28515625" style="56" customWidth="1"/>
    <col min="8456" max="8456" width="9.5703125" style="56" customWidth="1"/>
    <col min="8457" max="8705" width="11.42578125" style="56"/>
    <col min="8706" max="8706" width="9.5703125" style="56" customWidth="1"/>
    <col min="8707" max="8707" width="5.42578125" style="56" customWidth="1"/>
    <col min="8708" max="8708" width="16.140625" style="56" customWidth="1"/>
    <col min="8709" max="8709" width="35.85546875" style="56" customWidth="1"/>
    <col min="8710" max="8710" width="24" style="56" customWidth="1"/>
    <col min="8711" max="8711" width="9.28515625" style="56" customWidth="1"/>
    <col min="8712" max="8712" width="9.5703125" style="56" customWidth="1"/>
    <col min="8713" max="8961" width="11.42578125" style="56"/>
    <col min="8962" max="8962" width="9.5703125" style="56" customWidth="1"/>
    <col min="8963" max="8963" width="5.42578125" style="56" customWidth="1"/>
    <col min="8964" max="8964" width="16.140625" style="56" customWidth="1"/>
    <col min="8965" max="8965" width="35.85546875" style="56" customWidth="1"/>
    <col min="8966" max="8966" width="24" style="56" customWidth="1"/>
    <col min="8967" max="8967" width="9.28515625" style="56" customWidth="1"/>
    <col min="8968" max="8968" width="9.5703125" style="56" customWidth="1"/>
    <col min="8969" max="9217" width="11.42578125" style="56"/>
    <col min="9218" max="9218" width="9.5703125" style="56" customWidth="1"/>
    <col min="9219" max="9219" width="5.42578125" style="56" customWidth="1"/>
    <col min="9220" max="9220" width="16.140625" style="56" customWidth="1"/>
    <col min="9221" max="9221" width="35.85546875" style="56" customWidth="1"/>
    <col min="9222" max="9222" width="24" style="56" customWidth="1"/>
    <col min="9223" max="9223" width="9.28515625" style="56" customWidth="1"/>
    <col min="9224" max="9224" width="9.5703125" style="56" customWidth="1"/>
    <col min="9225" max="9473" width="11.42578125" style="56"/>
    <col min="9474" max="9474" width="9.5703125" style="56" customWidth="1"/>
    <col min="9475" max="9475" width="5.42578125" style="56" customWidth="1"/>
    <col min="9476" max="9476" width="16.140625" style="56" customWidth="1"/>
    <col min="9477" max="9477" width="35.85546875" style="56" customWidth="1"/>
    <col min="9478" max="9478" width="24" style="56" customWidth="1"/>
    <col min="9479" max="9479" width="9.28515625" style="56" customWidth="1"/>
    <col min="9480" max="9480" width="9.5703125" style="56" customWidth="1"/>
    <col min="9481" max="9729" width="11.42578125" style="56"/>
    <col min="9730" max="9730" width="9.5703125" style="56" customWidth="1"/>
    <col min="9731" max="9731" width="5.42578125" style="56" customWidth="1"/>
    <col min="9732" max="9732" width="16.140625" style="56" customWidth="1"/>
    <col min="9733" max="9733" width="35.85546875" style="56" customWidth="1"/>
    <col min="9734" max="9734" width="24" style="56" customWidth="1"/>
    <col min="9735" max="9735" width="9.28515625" style="56" customWidth="1"/>
    <col min="9736" max="9736" width="9.5703125" style="56" customWidth="1"/>
    <col min="9737" max="9985" width="11.42578125" style="56"/>
    <col min="9986" max="9986" width="9.5703125" style="56" customWidth="1"/>
    <col min="9987" max="9987" width="5.42578125" style="56" customWidth="1"/>
    <col min="9988" max="9988" width="16.140625" style="56" customWidth="1"/>
    <col min="9989" max="9989" width="35.85546875" style="56" customWidth="1"/>
    <col min="9990" max="9990" width="24" style="56" customWidth="1"/>
    <col min="9991" max="9991" width="9.28515625" style="56" customWidth="1"/>
    <col min="9992" max="9992" width="9.5703125" style="56" customWidth="1"/>
    <col min="9993" max="10241" width="11.42578125" style="56"/>
    <col min="10242" max="10242" width="9.5703125" style="56" customWidth="1"/>
    <col min="10243" max="10243" width="5.42578125" style="56" customWidth="1"/>
    <col min="10244" max="10244" width="16.140625" style="56" customWidth="1"/>
    <col min="10245" max="10245" width="35.85546875" style="56" customWidth="1"/>
    <col min="10246" max="10246" width="24" style="56" customWidth="1"/>
    <col min="10247" max="10247" width="9.28515625" style="56" customWidth="1"/>
    <col min="10248" max="10248" width="9.5703125" style="56" customWidth="1"/>
    <col min="10249" max="10497" width="11.42578125" style="56"/>
    <col min="10498" max="10498" width="9.5703125" style="56" customWidth="1"/>
    <col min="10499" max="10499" width="5.42578125" style="56" customWidth="1"/>
    <col min="10500" max="10500" width="16.140625" style="56" customWidth="1"/>
    <col min="10501" max="10501" width="35.85546875" style="56" customWidth="1"/>
    <col min="10502" max="10502" width="24" style="56" customWidth="1"/>
    <col min="10503" max="10503" width="9.28515625" style="56" customWidth="1"/>
    <col min="10504" max="10504" width="9.5703125" style="56" customWidth="1"/>
    <col min="10505" max="10753" width="11.42578125" style="56"/>
    <col min="10754" max="10754" width="9.5703125" style="56" customWidth="1"/>
    <col min="10755" max="10755" width="5.42578125" style="56" customWidth="1"/>
    <col min="10756" max="10756" width="16.140625" style="56" customWidth="1"/>
    <col min="10757" max="10757" width="35.85546875" style="56" customWidth="1"/>
    <col min="10758" max="10758" width="24" style="56" customWidth="1"/>
    <col min="10759" max="10759" width="9.28515625" style="56" customWidth="1"/>
    <col min="10760" max="10760" width="9.5703125" style="56" customWidth="1"/>
    <col min="10761" max="11009" width="11.42578125" style="56"/>
    <col min="11010" max="11010" width="9.5703125" style="56" customWidth="1"/>
    <col min="11011" max="11011" width="5.42578125" style="56" customWidth="1"/>
    <col min="11012" max="11012" width="16.140625" style="56" customWidth="1"/>
    <col min="11013" max="11013" width="35.85546875" style="56" customWidth="1"/>
    <col min="11014" max="11014" width="24" style="56" customWidth="1"/>
    <col min="11015" max="11015" width="9.28515625" style="56" customWidth="1"/>
    <col min="11016" max="11016" width="9.5703125" style="56" customWidth="1"/>
    <col min="11017" max="11265" width="11.42578125" style="56"/>
    <col min="11266" max="11266" width="9.5703125" style="56" customWidth="1"/>
    <col min="11267" max="11267" width="5.42578125" style="56" customWidth="1"/>
    <col min="11268" max="11268" width="16.140625" style="56" customWidth="1"/>
    <col min="11269" max="11269" width="35.85546875" style="56" customWidth="1"/>
    <col min="11270" max="11270" width="24" style="56" customWidth="1"/>
    <col min="11271" max="11271" width="9.28515625" style="56" customWidth="1"/>
    <col min="11272" max="11272" width="9.5703125" style="56" customWidth="1"/>
    <col min="11273" max="11521" width="11.42578125" style="56"/>
    <col min="11522" max="11522" width="9.5703125" style="56" customWidth="1"/>
    <col min="11523" max="11523" width="5.42578125" style="56" customWidth="1"/>
    <col min="11524" max="11524" width="16.140625" style="56" customWidth="1"/>
    <col min="11525" max="11525" width="35.85546875" style="56" customWidth="1"/>
    <col min="11526" max="11526" width="24" style="56" customWidth="1"/>
    <col min="11527" max="11527" width="9.28515625" style="56" customWidth="1"/>
    <col min="11528" max="11528" width="9.5703125" style="56" customWidth="1"/>
    <col min="11529" max="11777" width="11.42578125" style="56"/>
    <col min="11778" max="11778" width="9.5703125" style="56" customWidth="1"/>
    <col min="11779" max="11779" width="5.42578125" style="56" customWidth="1"/>
    <col min="11780" max="11780" width="16.140625" style="56" customWidth="1"/>
    <col min="11781" max="11781" width="35.85546875" style="56" customWidth="1"/>
    <col min="11782" max="11782" width="24" style="56" customWidth="1"/>
    <col min="11783" max="11783" width="9.28515625" style="56" customWidth="1"/>
    <col min="11784" max="11784" width="9.5703125" style="56" customWidth="1"/>
    <col min="11785" max="12033" width="11.42578125" style="56"/>
    <col min="12034" max="12034" width="9.5703125" style="56" customWidth="1"/>
    <col min="12035" max="12035" width="5.42578125" style="56" customWidth="1"/>
    <col min="12036" max="12036" width="16.140625" style="56" customWidth="1"/>
    <col min="12037" max="12037" width="35.85546875" style="56" customWidth="1"/>
    <col min="12038" max="12038" width="24" style="56" customWidth="1"/>
    <col min="12039" max="12039" width="9.28515625" style="56" customWidth="1"/>
    <col min="12040" max="12040" width="9.5703125" style="56" customWidth="1"/>
    <col min="12041" max="12289" width="11.42578125" style="56"/>
    <col min="12290" max="12290" width="9.5703125" style="56" customWidth="1"/>
    <col min="12291" max="12291" width="5.42578125" style="56" customWidth="1"/>
    <col min="12292" max="12292" width="16.140625" style="56" customWidth="1"/>
    <col min="12293" max="12293" width="35.85546875" style="56" customWidth="1"/>
    <col min="12294" max="12294" width="24" style="56" customWidth="1"/>
    <col min="12295" max="12295" width="9.28515625" style="56" customWidth="1"/>
    <col min="12296" max="12296" width="9.5703125" style="56" customWidth="1"/>
    <col min="12297" max="12545" width="11.42578125" style="56"/>
    <col min="12546" max="12546" width="9.5703125" style="56" customWidth="1"/>
    <col min="12547" max="12547" width="5.42578125" style="56" customWidth="1"/>
    <col min="12548" max="12548" width="16.140625" style="56" customWidth="1"/>
    <col min="12549" max="12549" width="35.85546875" style="56" customWidth="1"/>
    <col min="12550" max="12550" width="24" style="56" customWidth="1"/>
    <col min="12551" max="12551" width="9.28515625" style="56" customWidth="1"/>
    <col min="12552" max="12552" width="9.5703125" style="56" customWidth="1"/>
    <col min="12553" max="12801" width="11.42578125" style="56"/>
    <col min="12802" max="12802" width="9.5703125" style="56" customWidth="1"/>
    <col min="12803" max="12803" width="5.42578125" style="56" customWidth="1"/>
    <col min="12804" max="12804" width="16.140625" style="56" customWidth="1"/>
    <col min="12805" max="12805" width="35.85546875" style="56" customWidth="1"/>
    <col min="12806" max="12806" width="24" style="56" customWidth="1"/>
    <col min="12807" max="12807" width="9.28515625" style="56" customWidth="1"/>
    <col min="12808" max="12808" width="9.5703125" style="56" customWidth="1"/>
    <col min="12809" max="13057" width="11.42578125" style="56"/>
    <col min="13058" max="13058" width="9.5703125" style="56" customWidth="1"/>
    <col min="13059" max="13059" width="5.42578125" style="56" customWidth="1"/>
    <col min="13060" max="13060" width="16.140625" style="56" customWidth="1"/>
    <col min="13061" max="13061" width="35.85546875" style="56" customWidth="1"/>
    <col min="13062" max="13062" width="24" style="56" customWidth="1"/>
    <col min="13063" max="13063" width="9.28515625" style="56" customWidth="1"/>
    <col min="13064" max="13064" width="9.5703125" style="56" customWidth="1"/>
    <col min="13065" max="13313" width="11.42578125" style="56"/>
    <col min="13314" max="13314" width="9.5703125" style="56" customWidth="1"/>
    <col min="13315" max="13315" width="5.42578125" style="56" customWidth="1"/>
    <col min="13316" max="13316" width="16.140625" style="56" customWidth="1"/>
    <col min="13317" max="13317" width="35.85546875" style="56" customWidth="1"/>
    <col min="13318" max="13318" width="24" style="56" customWidth="1"/>
    <col min="13319" max="13319" width="9.28515625" style="56" customWidth="1"/>
    <col min="13320" max="13320" width="9.5703125" style="56" customWidth="1"/>
    <col min="13321" max="13569" width="11.42578125" style="56"/>
    <col min="13570" max="13570" width="9.5703125" style="56" customWidth="1"/>
    <col min="13571" max="13571" width="5.42578125" style="56" customWidth="1"/>
    <col min="13572" max="13572" width="16.140625" style="56" customWidth="1"/>
    <col min="13573" max="13573" width="35.85546875" style="56" customWidth="1"/>
    <col min="13574" max="13574" width="24" style="56" customWidth="1"/>
    <col min="13575" max="13575" width="9.28515625" style="56" customWidth="1"/>
    <col min="13576" max="13576" width="9.5703125" style="56" customWidth="1"/>
    <col min="13577" max="13825" width="11.42578125" style="56"/>
    <col min="13826" max="13826" width="9.5703125" style="56" customWidth="1"/>
    <col min="13827" max="13827" width="5.42578125" style="56" customWidth="1"/>
    <col min="13828" max="13828" width="16.140625" style="56" customWidth="1"/>
    <col min="13829" max="13829" width="35.85546875" style="56" customWidth="1"/>
    <col min="13830" max="13830" width="24" style="56" customWidth="1"/>
    <col min="13831" max="13831" width="9.28515625" style="56" customWidth="1"/>
    <col min="13832" max="13832" width="9.5703125" style="56" customWidth="1"/>
    <col min="13833" max="14081" width="11.42578125" style="56"/>
    <col min="14082" max="14082" width="9.5703125" style="56" customWidth="1"/>
    <col min="14083" max="14083" width="5.42578125" style="56" customWidth="1"/>
    <col min="14084" max="14084" width="16.140625" style="56" customWidth="1"/>
    <col min="14085" max="14085" width="35.85546875" style="56" customWidth="1"/>
    <col min="14086" max="14086" width="24" style="56" customWidth="1"/>
    <col min="14087" max="14087" width="9.28515625" style="56" customWidth="1"/>
    <col min="14088" max="14088" width="9.5703125" style="56" customWidth="1"/>
    <col min="14089" max="14337" width="11.42578125" style="56"/>
    <col min="14338" max="14338" width="9.5703125" style="56" customWidth="1"/>
    <col min="14339" max="14339" width="5.42578125" style="56" customWidth="1"/>
    <col min="14340" max="14340" width="16.140625" style="56" customWidth="1"/>
    <col min="14341" max="14341" width="35.85546875" style="56" customWidth="1"/>
    <col min="14342" max="14342" width="24" style="56" customWidth="1"/>
    <col min="14343" max="14343" width="9.28515625" style="56" customWidth="1"/>
    <col min="14344" max="14344" width="9.5703125" style="56" customWidth="1"/>
    <col min="14345" max="14593" width="11.42578125" style="56"/>
    <col min="14594" max="14594" width="9.5703125" style="56" customWidth="1"/>
    <col min="14595" max="14595" width="5.42578125" style="56" customWidth="1"/>
    <col min="14596" max="14596" width="16.140625" style="56" customWidth="1"/>
    <col min="14597" max="14597" width="35.85546875" style="56" customWidth="1"/>
    <col min="14598" max="14598" width="24" style="56" customWidth="1"/>
    <col min="14599" max="14599" width="9.28515625" style="56" customWidth="1"/>
    <col min="14600" max="14600" width="9.5703125" style="56" customWidth="1"/>
    <col min="14601" max="14849" width="11.42578125" style="56"/>
    <col min="14850" max="14850" width="9.5703125" style="56" customWidth="1"/>
    <col min="14851" max="14851" width="5.42578125" style="56" customWidth="1"/>
    <col min="14852" max="14852" width="16.140625" style="56" customWidth="1"/>
    <col min="14853" max="14853" width="35.85546875" style="56" customWidth="1"/>
    <col min="14854" max="14854" width="24" style="56" customWidth="1"/>
    <col min="14855" max="14855" width="9.28515625" style="56" customWidth="1"/>
    <col min="14856" max="14856" width="9.5703125" style="56" customWidth="1"/>
    <col min="14857" max="15105" width="11.42578125" style="56"/>
    <col min="15106" max="15106" width="9.5703125" style="56" customWidth="1"/>
    <col min="15107" max="15107" width="5.42578125" style="56" customWidth="1"/>
    <col min="15108" max="15108" width="16.140625" style="56" customWidth="1"/>
    <col min="15109" max="15109" width="35.85546875" style="56" customWidth="1"/>
    <col min="15110" max="15110" width="24" style="56" customWidth="1"/>
    <col min="15111" max="15111" width="9.28515625" style="56" customWidth="1"/>
    <col min="15112" max="15112" width="9.5703125" style="56" customWidth="1"/>
    <col min="15113" max="15361" width="11.42578125" style="56"/>
    <col min="15362" max="15362" width="9.5703125" style="56" customWidth="1"/>
    <col min="15363" max="15363" width="5.42578125" style="56" customWidth="1"/>
    <col min="15364" max="15364" width="16.140625" style="56" customWidth="1"/>
    <col min="15365" max="15365" width="35.85546875" style="56" customWidth="1"/>
    <col min="15366" max="15366" width="24" style="56" customWidth="1"/>
    <col min="15367" max="15367" width="9.28515625" style="56" customWidth="1"/>
    <col min="15368" max="15368" width="9.5703125" style="56" customWidth="1"/>
    <col min="15369" max="15617" width="11.42578125" style="56"/>
    <col min="15618" max="15618" width="9.5703125" style="56" customWidth="1"/>
    <col min="15619" max="15619" width="5.42578125" style="56" customWidth="1"/>
    <col min="15620" max="15620" width="16.140625" style="56" customWidth="1"/>
    <col min="15621" max="15621" width="35.85546875" style="56" customWidth="1"/>
    <col min="15622" max="15622" width="24" style="56" customWidth="1"/>
    <col min="15623" max="15623" width="9.28515625" style="56" customWidth="1"/>
    <col min="15624" max="15624" width="9.5703125" style="56" customWidth="1"/>
    <col min="15625" max="15873" width="11.42578125" style="56"/>
    <col min="15874" max="15874" width="9.5703125" style="56" customWidth="1"/>
    <col min="15875" max="15875" width="5.42578125" style="56" customWidth="1"/>
    <col min="15876" max="15876" width="16.140625" style="56" customWidth="1"/>
    <col min="15877" max="15877" width="35.85546875" style="56" customWidth="1"/>
    <col min="15878" max="15878" width="24" style="56" customWidth="1"/>
    <col min="15879" max="15879" width="9.28515625" style="56" customWidth="1"/>
    <col min="15880" max="15880" width="9.5703125" style="56" customWidth="1"/>
    <col min="15881" max="16129" width="11.42578125" style="56"/>
    <col min="16130" max="16130" width="9.5703125" style="56" customWidth="1"/>
    <col min="16131" max="16131" width="5.42578125" style="56" customWidth="1"/>
    <col min="16132" max="16132" width="16.140625" style="56" customWidth="1"/>
    <col min="16133" max="16133" width="35.85546875" style="56" customWidth="1"/>
    <col min="16134" max="16134" width="24" style="56" customWidth="1"/>
    <col min="16135" max="16135" width="9.28515625" style="56" customWidth="1"/>
    <col min="16136" max="16136" width="9.5703125" style="56" customWidth="1"/>
    <col min="16137" max="16384" width="11.42578125" style="56"/>
  </cols>
  <sheetData>
    <row r="1" spans="2:9" ht="13.5" thickBot="1" x14ac:dyDescent="0.25"/>
    <row r="2" spans="2:9" ht="27.75" customHeight="1" x14ac:dyDescent="0.2">
      <c r="B2" s="529" t="s">
        <v>156</v>
      </c>
      <c r="C2" s="530"/>
      <c r="D2" s="531" t="s">
        <v>157</v>
      </c>
      <c r="E2" s="532"/>
      <c r="F2" s="530"/>
      <c r="G2" s="531"/>
      <c r="H2" s="533"/>
    </row>
    <row r="3" spans="2:9" ht="13.5" thickBot="1" x14ac:dyDescent="0.25">
      <c r="B3" s="534" t="s">
        <v>204</v>
      </c>
      <c r="C3" s="535"/>
      <c r="D3" s="536" t="s">
        <v>158</v>
      </c>
      <c r="E3" s="537"/>
      <c r="F3" s="535"/>
      <c r="G3" s="536" t="s">
        <v>205</v>
      </c>
      <c r="H3" s="538"/>
    </row>
    <row r="4" spans="2:9" ht="13.5" thickBot="1" x14ac:dyDescent="0.25">
      <c r="B4" s="98"/>
      <c r="H4" s="99"/>
    </row>
    <row r="5" spans="2:9" ht="13.5" thickBot="1" x14ac:dyDescent="0.25">
      <c r="B5" s="539" t="s">
        <v>159</v>
      </c>
      <c r="C5" s="540"/>
      <c r="D5" s="540"/>
      <c r="E5" s="540"/>
      <c r="F5" s="540"/>
      <c r="G5" s="540"/>
      <c r="H5" s="541"/>
    </row>
    <row r="6" spans="2:9" ht="13.5" thickBot="1" x14ac:dyDescent="0.25">
      <c r="B6" s="542" t="s">
        <v>160</v>
      </c>
      <c r="C6" s="543"/>
      <c r="D6" s="100" t="s">
        <v>161</v>
      </c>
      <c r="E6" s="101" t="s">
        <v>162</v>
      </c>
      <c r="F6" s="544" t="s">
        <v>163</v>
      </c>
      <c r="G6" s="545"/>
      <c r="H6" s="546"/>
    </row>
    <row r="7" spans="2:9" x14ac:dyDescent="0.2">
      <c r="B7" s="547">
        <v>2</v>
      </c>
      <c r="C7" s="548"/>
      <c r="D7" s="102" t="s">
        <v>164</v>
      </c>
      <c r="E7" s="102" t="s">
        <v>165</v>
      </c>
      <c r="F7" s="549" t="s">
        <v>166</v>
      </c>
      <c r="G7" s="550"/>
      <c r="H7" s="551"/>
    </row>
    <row r="8" spans="2:9" x14ac:dyDescent="0.2">
      <c r="B8" s="525">
        <v>3</v>
      </c>
      <c r="C8" s="526"/>
      <c r="D8" s="108">
        <v>44213</v>
      </c>
      <c r="E8" s="102" t="s">
        <v>165</v>
      </c>
      <c r="F8" s="527" t="s">
        <v>167</v>
      </c>
      <c r="G8" s="527"/>
      <c r="H8" s="528"/>
    </row>
    <row r="9" spans="2:9" ht="27.75" customHeight="1" x14ac:dyDescent="0.2">
      <c r="B9" s="525">
        <v>4</v>
      </c>
      <c r="C9" s="526"/>
      <c r="D9" s="108">
        <v>44622</v>
      </c>
      <c r="E9" s="102" t="s">
        <v>165</v>
      </c>
      <c r="F9" s="527" t="s">
        <v>202</v>
      </c>
      <c r="G9" s="527"/>
      <c r="H9" s="528"/>
      <c r="I9" s="104"/>
    </row>
    <row r="10" spans="2:9" ht="46.5" customHeight="1" x14ac:dyDescent="0.2">
      <c r="B10" s="525">
        <v>5</v>
      </c>
      <c r="C10" s="526"/>
      <c r="D10" s="108">
        <v>45040</v>
      </c>
      <c r="E10" s="103" t="s">
        <v>479</v>
      </c>
      <c r="F10" s="527" t="s">
        <v>480</v>
      </c>
      <c r="G10" s="527"/>
      <c r="H10" s="528"/>
    </row>
    <row r="11" spans="2:9" x14ac:dyDescent="0.2">
      <c r="B11" s="525"/>
      <c r="C11" s="526"/>
      <c r="D11" s="103"/>
      <c r="E11" s="103"/>
      <c r="F11" s="527"/>
      <c r="G11" s="527"/>
      <c r="H11" s="528"/>
    </row>
    <row r="12" spans="2:9" x14ac:dyDescent="0.2">
      <c r="B12" s="525"/>
      <c r="C12" s="526"/>
      <c r="D12" s="103"/>
      <c r="E12" s="105"/>
      <c r="F12" s="527"/>
      <c r="G12" s="527"/>
      <c r="H12" s="528"/>
    </row>
    <row r="13" spans="2:9" x14ac:dyDescent="0.2">
      <c r="B13" s="525"/>
      <c r="C13" s="526"/>
      <c r="D13" s="103"/>
      <c r="E13" s="105"/>
      <c r="F13" s="527"/>
      <c r="G13" s="527"/>
      <c r="H13" s="528"/>
    </row>
    <row r="14" spans="2:9" x14ac:dyDescent="0.2">
      <c r="B14" s="525"/>
      <c r="C14" s="526"/>
      <c r="D14" s="103"/>
      <c r="E14" s="105"/>
      <c r="F14" s="527"/>
      <c r="G14" s="527"/>
      <c r="H14" s="528"/>
    </row>
    <row r="15" spans="2:9" x14ac:dyDescent="0.2">
      <c r="B15" s="525"/>
      <c r="C15" s="526"/>
      <c r="D15" s="103"/>
      <c r="E15" s="105"/>
      <c r="F15" s="527"/>
      <c r="G15" s="527"/>
      <c r="H15" s="528"/>
    </row>
    <row r="16" spans="2:9" x14ac:dyDescent="0.2">
      <c r="B16" s="525"/>
      <c r="C16" s="526"/>
      <c r="D16" s="103"/>
      <c r="E16" s="105"/>
      <c r="F16" s="527"/>
      <c r="G16" s="527"/>
      <c r="H16" s="528"/>
    </row>
    <row r="17" spans="2:8" x14ac:dyDescent="0.2">
      <c r="B17" s="525"/>
      <c r="C17" s="526"/>
      <c r="D17" s="103"/>
      <c r="E17" s="105"/>
      <c r="F17" s="527"/>
      <c r="G17" s="527"/>
      <c r="H17" s="528"/>
    </row>
    <row r="18" spans="2:8" ht="13.5" thickBot="1" x14ac:dyDescent="0.25">
      <c r="B18" s="552"/>
      <c r="C18" s="553"/>
      <c r="D18" s="106"/>
      <c r="E18" s="107"/>
      <c r="F18" s="554"/>
      <c r="G18" s="554"/>
      <c r="H18" s="555"/>
    </row>
  </sheetData>
  <mergeCells count="33">
    <mergeCell ref="B18:C18"/>
    <mergeCell ref="F18:H18"/>
    <mergeCell ref="B15:C15"/>
    <mergeCell ref="F15:H15"/>
    <mergeCell ref="B16:C16"/>
    <mergeCell ref="F16:H16"/>
    <mergeCell ref="B17:C17"/>
    <mergeCell ref="F17:H17"/>
    <mergeCell ref="B12:C12"/>
    <mergeCell ref="F12:H12"/>
    <mergeCell ref="B13:C13"/>
    <mergeCell ref="F13:H13"/>
    <mergeCell ref="B14:C14"/>
    <mergeCell ref="F14:H14"/>
    <mergeCell ref="B9:C9"/>
    <mergeCell ref="F9:H9"/>
    <mergeCell ref="B10:C10"/>
    <mergeCell ref="F10:H10"/>
    <mergeCell ref="B11:C11"/>
    <mergeCell ref="F11:H11"/>
    <mergeCell ref="B8:C8"/>
    <mergeCell ref="F8:H8"/>
    <mergeCell ref="B2:C2"/>
    <mergeCell ref="D2:F2"/>
    <mergeCell ref="G2:H2"/>
    <mergeCell ref="B3:C3"/>
    <mergeCell ref="D3:F3"/>
    <mergeCell ref="G3:H3"/>
    <mergeCell ref="B5:H5"/>
    <mergeCell ref="B6:C6"/>
    <mergeCell ref="F6:H6"/>
    <mergeCell ref="B7:C7"/>
    <mergeCell ref="F7:H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Contexto</vt:lpstr>
      <vt:lpstr>Intructivo</vt:lpstr>
      <vt:lpstr>Mapa final</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CALIDAD04 CAL04. CALIDAD</cp:lastModifiedBy>
  <cp:lastPrinted>2020-05-13T01:12:22Z</cp:lastPrinted>
  <dcterms:created xsi:type="dcterms:W3CDTF">2020-03-24T23:12:47Z</dcterms:created>
  <dcterms:modified xsi:type="dcterms:W3CDTF">2023-04-27T16:13:49Z</dcterms:modified>
</cp:coreProperties>
</file>